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drawings/drawing2.xml" ContentType="application/vnd.openxmlformats-officedocument.drawing+xml"/>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drawings/drawing3.xml" ContentType="application/vnd.openxmlformats-officedocument.drawing+xml"/>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drawings/drawing4.xml" ContentType="application/vnd.openxmlformats-officedocument.drawing+xml"/>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drawings/drawing5.xml" ContentType="application/vnd.openxmlformats-officedocument.drawing+xml"/>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drawings/drawing11.xml" ContentType="application/vnd.openxmlformats-officedocument.drawing+xml"/>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drawings/drawing12.xml" ContentType="application/vnd.openxmlformats-officedocument.drawing+xml"/>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drawings/drawing13.xml" ContentType="application/vnd.openxmlformats-officedocument.drawing+xml"/>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4400" windowHeight="12855" tabRatio="752"/>
  </bookViews>
  <sheets>
    <sheet name="General PUENTE" sheetId="9" r:id="rId1"/>
    <sheet name="TERRAPLEN" sheetId="21" r:id="rId2"/>
    <sheet name="varillas eje 1-1" sheetId="25" r:id="rId3"/>
    <sheet name="varillas eje 2" sheetId="27" r:id="rId4"/>
    <sheet name="varillas eje 3" sheetId="29" r:id="rId5"/>
    <sheet name="varillas eje 4" sheetId="30" r:id="rId6"/>
    <sheet name="varillas eje 5" sheetId="31" r:id="rId7"/>
    <sheet name="AASHTO VI CLARO 1-2" sheetId="34" r:id="rId8"/>
    <sheet name="AASHTO VI CLARO 2-3" sheetId="35" r:id="rId9"/>
    <sheet name="AASHTO VI CLARO 3-4" sheetId="36" r:id="rId10"/>
    <sheet name="AASHTO VI CLARO 4-5" sheetId="37" r:id="rId11"/>
    <sheet name="LOSAS Y DIAFRAGMAS EJES 1-2 " sheetId="5" r:id="rId12"/>
    <sheet name="LOSAS Y DIAFRAGMAS EJES 2-3" sheetId="38" r:id="rId13"/>
    <sheet name="LOSAS Y DIAFRAGMAS EJE 3-4" sheetId="40" r:id="rId14"/>
    <sheet name="LOSAS Y DIAFRAGMAS IZQ 4-5" sheetId="42" r:id="rId15"/>
    <sheet name="LISTA DE TODOS LOS PARAPETOS" sheetId="43" r:id="rId16"/>
  </sheets>
  <externalReferences>
    <externalReference r:id="rId17"/>
  </externalReferences>
  <calcPr calcId="144525"/>
</workbook>
</file>

<file path=xl/calcChain.xml><?xml version="1.0" encoding="utf-8"?>
<calcChain xmlns="http://schemas.openxmlformats.org/spreadsheetml/2006/main">
  <c r="C67" i="9" l="1"/>
  <c r="J58" i="29"/>
  <c r="J56" i="29"/>
  <c r="J60" i="27"/>
  <c r="J58" i="27"/>
  <c r="C66" i="9"/>
  <c r="C65" i="9"/>
  <c r="C62" i="9"/>
  <c r="C63" i="9"/>
  <c r="C61" i="9"/>
  <c r="C60" i="9"/>
  <c r="C59" i="9"/>
  <c r="C58" i="9"/>
  <c r="C54" i="9"/>
  <c r="C52" i="9"/>
  <c r="C49" i="9"/>
  <c r="C51" i="9"/>
  <c r="C50" i="9"/>
  <c r="O52" i="29"/>
  <c r="O45" i="29"/>
  <c r="O54" i="27"/>
  <c r="O47" i="27"/>
  <c r="G73" i="31" l="1"/>
  <c r="F86" i="31"/>
  <c r="J50" i="31"/>
  <c r="J49" i="31"/>
  <c r="D24" i="31"/>
  <c r="H12" i="31"/>
  <c r="D11" i="31"/>
  <c r="D10" i="31"/>
  <c r="D34" i="30"/>
  <c r="H29" i="30"/>
  <c r="H27" i="30"/>
  <c r="J28" i="30"/>
  <c r="I28" i="30"/>
  <c r="H28" i="30"/>
  <c r="E28" i="30" s="1"/>
  <c r="K28" i="30" s="1"/>
  <c r="D12" i="30"/>
  <c r="C11" i="30"/>
  <c r="J51" i="29"/>
  <c r="J46" i="29"/>
  <c r="H35" i="29"/>
  <c r="H34" i="29"/>
  <c r="D66" i="29"/>
  <c r="J42" i="29"/>
  <c r="J41" i="29"/>
  <c r="H37" i="27"/>
  <c r="D33" i="29"/>
  <c r="D12" i="29" l="1"/>
  <c r="H7" i="29"/>
  <c r="H6" i="29"/>
  <c r="H4" i="27"/>
  <c r="H5" i="27"/>
  <c r="J35" i="25"/>
  <c r="J31" i="25"/>
  <c r="J32" i="25"/>
  <c r="H38" i="27"/>
  <c r="D71" i="27"/>
  <c r="F71" i="27" s="1"/>
  <c r="G71" i="27" s="1"/>
  <c r="D70" i="27"/>
  <c r="F70" i="27" s="1"/>
  <c r="G70" i="27" s="1"/>
  <c r="D68" i="27"/>
  <c r="D36" i="27"/>
  <c r="J50" i="27" l="1"/>
  <c r="H7" i="27"/>
  <c r="H6" i="27"/>
  <c r="D66" i="25"/>
  <c r="H20" i="9" l="1"/>
  <c r="H19" i="9"/>
  <c r="H18" i="9"/>
  <c r="H17" i="9"/>
  <c r="J13" i="9"/>
  <c r="I13" i="9"/>
  <c r="H13" i="9"/>
  <c r="H9" i="9"/>
  <c r="H5" i="9"/>
  <c r="H4" i="9"/>
  <c r="F13" i="9"/>
  <c r="G13" i="9"/>
  <c r="G10" i="9"/>
  <c r="G9" i="9"/>
  <c r="G5" i="9"/>
  <c r="F5" i="43"/>
  <c r="C24" i="30" l="1"/>
  <c r="C21" i="30"/>
  <c r="C18" i="30"/>
  <c r="C15" i="30"/>
  <c r="E83" i="31"/>
  <c r="E69" i="31"/>
  <c r="D43" i="31"/>
  <c r="H43" i="31"/>
  <c r="C28" i="31" l="1"/>
  <c r="C31" i="31"/>
  <c r="H16" i="31"/>
  <c r="E16" i="31" s="1"/>
  <c r="K16" i="31" s="1"/>
  <c r="H15" i="31"/>
  <c r="E63" i="30"/>
  <c r="D68" i="30"/>
  <c r="D67" i="30"/>
  <c r="D36" i="30"/>
  <c r="D33" i="30"/>
  <c r="D77" i="29"/>
  <c r="D76" i="29"/>
  <c r="D35" i="29" l="1"/>
  <c r="D34" i="29"/>
  <c r="H32" i="29"/>
  <c r="C11" i="29"/>
  <c r="D7" i="29"/>
  <c r="D6" i="29"/>
  <c r="D5" i="29"/>
  <c r="D4" i="29"/>
  <c r="E90" i="27" l="1"/>
  <c r="E89" i="27"/>
  <c r="D80" i="27"/>
  <c r="D8" i="27"/>
  <c r="E7" i="27"/>
  <c r="K7" i="27" s="1"/>
  <c r="D78" i="27" l="1"/>
  <c r="H35" i="27" l="1"/>
  <c r="D6" i="27"/>
  <c r="C11" i="27"/>
  <c r="D4" i="27" l="1"/>
  <c r="H27" i="25"/>
  <c r="D27" i="25"/>
  <c r="H13" i="25"/>
  <c r="H12" i="25"/>
  <c r="H7" i="25"/>
  <c r="H6" i="25"/>
  <c r="D74" i="25" l="1"/>
  <c r="K71" i="25"/>
  <c r="J81" i="31"/>
  <c r="D59" i="27" l="1"/>
  <c r="E6" i="29"/>
  <c r="F89" i="29"/>
  <c r="F88" i="29"/>
  <c r="F87" i="29"/>
  <c r="F86" i="29"/>
  <c r="F85" i="29"/>
  <c r="F84" i="29"/>
  <c r="F83" i="29"/>
  <c r="F82" i="29"/>
  <c r="F81" i="29"/>
  <c r="F80" i="29"/>
  <c r="F79" i="29"/>
  <c r="F78" i="29"/>
  <c r="F77" i="29"/>
  <c r="F76" i="29"/>
  <c r="F73" i="29"/>
  <c r="G73" i="29" s="1"/>
  <c r="F71" i="29"/>
  <c r="G71" i="29" s="1"/>
  <c r="D69" i="29"/>
  <c r="F69" i="29" s="1"/>
  <c r="G69" i="29" s="1"/>
  <c r="J65" i="29"/>
  <c r="D68" i="29"/>
  <c r="F66" i="29"/>
  <c r="G66" i="29" s="1"/>
  <c r="N65" i="29"/>
  <c r="L65" i="29"/>
  <c r="K65" i="29"/>
  <c r="D65" i="29"/>
  <c r="F65" i="29" s="1"/>
  <c r="G65" i="29" s="1"/>
  <c r="E32" i="29"/>
  <c r="C24" i="29"/>
  <c r="C21" i="29"/>
  <c r="C18" i="29"/>
  <c r="C15" i="29"/>
  <c r="R10" i="29"/>
  <c r="R9" i="29"/>
  <c r="S9" i="29" s="1"/>
  <c r="R8" i="29"/>
  <c r="R7" i="29"/>
  <c r="S7" i="29" s="1"/>
  <c r="E7" i="29"/>
  <c r="K7" i="29" s="1"/>
  <c r="R6" i="29"/>
  <c r="R5" i="29"/>
  <c r="R4" i="29"/>
  <c r="S4" i="29" s="1"/>
  <c r="N67" i="27"/>
  <c r="L67" i="27"/>
  <c r="K67" i="27"/>
  <c r="J67" i="27"/>
  <c r="I29" i="29" l="1"/>
  <c r="I30" i="29"/>
  <c r="H29" i="29"/>
  <c r="H30" i="29"/>
  <c r="I31" i="29"/>
  <c r="H10" i="29"/>
  <c r="H9" i="29"/>
  <c r="H5" i="29"/>
  <c r="H4" i="29"/>
  <c r="I28" i="29"/>
  <c r="H27" i="29"/>
  <c r="I22" i="29"/>
  <c r="H13" i="29"/>
  <c r="I33" i="29"/>
  <c r="H31" i="29"/>
  <c r="H26" i="29"/>
  <c r="H17" i="29"/>
  <c r="H33" i="29"/>
  <c r="H25" i="29"/>
  <c r="I17" i="29"/>
  <c r="H16" i="29"/>
  <c r="I9" i="29"/>
  <c r="I27" i="29"/>
  <c r="I23" i="29"/>
  <c r="I16" i="29"/>
  <c r="I13" i="29"/>
  <c r="I10" i="29"/>
  <c r="H14" i="29"/>
  <c r="I19" i="29"/>
  <c r="I8" i="29"/>
  <c r="I12" i="29"/>
  <c r="H12" i="29"/>
  <c r="H8" i="29"/>
  <c r="G76" i="29"/>
  <c r="J48" i="29" s="1"/>
  <c r="H28" i="29"/>
  <c r="F68" i="29"/>
  <c r="G68" i="29" s="1"/>
  <c r="K6" i="29"/>
  <c r="K32" i="29"/>
  <c r="F90" i="29"/>
  <c r="J49" i="29" s="1"/>
  <c r="S6" i="29"/>
  <c r="S8" i="29"/>
  <c r="J35" i="29" s="1"/>
  <c r="E35" i="29" s="1"/>
  <c r="K35" i="29" s="1"/>
  <c r="I20" i="29"/>
  <c r="H22" i="29"/>
  <c r="I25" i="29"/>
  <c r="S5" i="29"/>
  <c r="S10" i="29"/>
  <c r="I14" i="29"/>
  <c r="H19" i="29"/>
  <c r="H23" i="29"/>
  <c r="I26" i="29"/>
  <c r="H20" i="29"/>
  <c r="F68" i="27"/>
  <c r="G68" i="27" s="1"/>
  <c r="C24" i="27"/>
  <c r="C21" i="27"/>
  <c r="C18" i="27"/>
  <c r="C15" i="27"/>
  <c r="J30" i="29" l="1"/>
  <c r="E30" i="29" s="1"/>
  <c r="K30" i="29" s="1"/>
  <c r="J29" i="29"/>
  <c r="E29" i="29" s="1"/>
  <c r="K29" i="29" s="1"/>
  <c r="H11" i="29"/>
  <c r="J9" i="29"/>
  <c r="J27" i="29"/>
  <c r="E27" i="29" s="1"/>
  <c r="K27" i="29" s="1"/>
  <c r="J10" i="29"/>
  <c r="E10" i="29" s="1"/>
  <c r="O49" i="29"/>
  <c r="I21" i="29"/>
  <c r="I15" i="29"/>
  <c r="I18" i="29"/>
  <c r="J33" i="29"/>
  <c r="E33" i="29" s="1"/>
  <c r="K33" i="29" s="1"/>
  <c r="J31" i="29"/>
  <c r="E31" i="29" s="1"/>
  <c r="K31" i="29" s="1"/>
  <c r="J26" i="29"/>
  <c r="E26" i="29" s="1"/>
  <c r="K26" i="29" s="1"/>
  <c r="J22" i="29"/>
  <c r="E22" i="29" s="1"/>
  <c r="J14" i="29"/>
  <c r="E14" i="29" s="1"/>
  <c r="J25" i="29"/>
  <c r="E25" i="29" s="1"/>
  <c r="K25" i="29" s="1"/>
  <c r="J17" i="29"/>
  <c r="E17" i="29" s="1"/>
  <c r="J13" i="29"/>
  <c r="E13" i="29" s="1"/>
  <c r="J20" i="29"/>
  <c r="E20" i="29" s="1"/>
  <c r="J16" i="29"/>
  <c r="E16" i="29" s="1"/>
  <c r="J28" i="29"/>
  <c r="E28" i="29" s="1"/>
  <c r="K28" i="29" s="1"/>
  <c r="J23" i="29"/>
  <c r="E23" i="29" s="1"/>
  <c r="J19" i="29"/>
  <c r="E19" i="29" s="1"/>
  <c r="J8" i="29"/>
  <c r="E8" i="29" s="1"/>
  <c r="K8" i="29" s="1"/>
  <c r="J34" i="29"/>
  <c r="E34" i="29" s="1"/>
  <c r="K34" i="29" s="1"/>
  <c r="J4" i="29"/>
  <c r="E4" i="29" s="1"/>
  <c r="K4" i="29" s="1"/>
  <c r="I24" i="29"/>
  <c r="J5" i="29"/>
  <c r="E5" i="29" s="1"/>
  <c r="K5" i="29" s="1"/>
  <c r="J12" i="29"/>
  <c r="E12" i="29" s="1"/>
  <c r="K12" i="29" s="1"/>
  <c r="C26" i="25"/>
  <c r="D23" i="25"/>
  <c r="D21" i="25"/>
  <c r="D22" i="25"/>
  <c r="D13" i="25"/>
  <c r="D12" i="25"/>
  <c r="I80" i="9"/>
  <c r="K78" i="9"/>
  <c r="H74" i="9"/>
  <c r="C74" i="9" s="1"/>
  <c r="C70" i="9"/>
  <c r="K24" i="5"/>
  <c r="C29" i="9"/>
  <c r="C28" i="9"/>
  <c r="C27" i="9"/>
  <c r="C26" i="9"/>
  <c r="C25" i="9"/>
  <c r="C24" i="9"/>
  <c r="C13" i="9"/>
  <c r="C19" i="9" s="1"/>
  <c r="C5" i="9"/>
  <c r="C4" i="9"/>
  <c r="E67" i="42"/>
  <c r="L66" i="5"/>
  <c r="E67" i="5"/>
  <c r="H67" i="42"/>
  <c r="H66" i="42"/>
  <c r="H68" i="42"/>
  <c r="H64" i="42"/>
  <c r="H63" i="42"/>
  <c r="D62" i="42"/>
  <c r="D61" i="42"/>
  <c r="H60" i="42"/>
  <c r="E60" i="42"/>
  <c r="L60" i="42"/>
  <c r="E20" i="42"/>
  <c r="D19" i="42"/>
  <c r="H18" i="42"/>
  <c r="D18" i="42"/>
  <c r="H17" i="42"/>
  <c r="D16" i="42"/>
  <c r="D15" i="42"/>
  <c r="D14" i="42"/>
  <c r="D13" i="42"/>
  <c r="H11" i="42"/>
  <c r="H10" i="42"/>
  <c r="D9" i="42"/>
  <c r="H6" i="42"/>
  <c r="H5" i="42"/>
  <c r="D5" i="42"/>
  <c r="D4" i="42"/>
  <c r="H4" i="42"/>
  <c r="H9" i="42"/>
  <c r="O40" i="40"/>
  <c r="O38" i="40"/>
  <c r="E20" i="40"/>
  <c r="H19" i="40"/>
  <c r="H19" i="5"/>
  <c r="D18" i="40"/>
  <c r="D17" i="40"/>
  <c r="H10" i="40"/>
  <c r="H11" i="40"/>
  <c r="H12" i="38"/>
  <c r="H10" i="38"/>
  <c r="H10" i="5"/>
  <c r="H9" i="40"/>
  <c r="D9" i="40"/>
  <c r="H5" i="40"/>
  <c r="H6" i="40"/>
  <c r="D5" i="40"/>
  <c r="D4" i="40"/>
  <c r="H4" i="40"/>
  <c r="F81" i="42"/>
  <c r="F82" i="42"/>
  <c r="K72" i="42"/>
  <c r="F80" i="42"/>
  <c r="C68" i="42"/>
  <c r="J67" i="42"/>
  <c r="J66" i="42"/>
  <c r="C65" i="42"/>
  <c r="J64" i="42"/>
  <c r="E64" i="42"/>
  <c r="L63" i="42"/>
  <c r="J63" i="42"/>
  <c r="J62" i="42"/>
  <c r="H62" i="42"/>
  <c r="E62" i="42"/>
  <c r="L62" i="42"/>
  <c r="J61" i="42"/>
  <c r="H61" i="42"/>
  <c r="E61" i="42"/>
  <c r="L61" i="42"/>
  <c r="J60" i="42"/>
  <c r="D60" i="42"/>
  <c r="F51" i="42"/>
  <c r="K30" i="42"/>
  <c r="F44" i="42"/>
  <c r="G44" i="42"/>
  <c r="G45" i="42"/>
  <c r="K26" i="42"/>
  <c r="E44" i="42"/>
  <c r="F42" i="42"/>
  <c r="F41" i="42"/>
  <c r="O40" i="42"/>
  <c r="F39" i="42"/>
  <c r="O38" i="42"/>
  <c r="F38" i="42"/>
  <c r="K28" i="42"/>
  <c r="L14" i="42"/>
  <c r="T11" i="42"/>
  <c r="U11" i="42"/>
  <c r="T10" i="42"/>
  <c r="U10" i="42"/>
  <c r="U9" i="42"/>
  <c r="T9" i="42"/>
  <c r="U8" i="42"/>
  <c r="T8" i="42"/>
  <c r="U7" i="42"/>
  <c r="J4" i="42"/>
  <c r="T7" i="42"/>
  <c r="T6" i="42"/>
  <c r="T5" i="42"/>
  <c r="U5" i="42"/>
  <c r="H7" i="42"/>
  <c r="E4" i="42"/>
  <c r="L4" i="42"/>
  <c r="E21" i="42"/>
  <c r="L21" i="42"/>
  <c r="K27" i="42"/>
  <c r="D21" i="42"/>
  <c r="L20" i="42"/>
  <c r="D20" i="42"/>
  <c r="D17" i="42"/>
  <c r="E16" i="42"/>
  <c r="L16" i="42"/>
  <c r="E15" i="42"/>
  <c r="L15" i="42"/>
  <c r="E14" i="42"/>
  <c r="E13" i="42"/>
  <c r="L13" i="42"/>
  <c r="C12" i="42"/>
  <c r="E8" i="42"/>
  <c r="L8" i="42"/>
  <c r="D8" i="42"/>
  <c r="C7" i="42"/>
  <c r="E6" i="42"/>
  <c r="E5" i="42"/>
  <c r="F51" i="40"/>
  <c r="F44" i="40"/>
  <c r="G44" i="40"/>
  <c r="E44" i="40"/>
  <c r="F42" i="40"/>
  <c r="F41" i="40"/>
  <c r="F39" i="40"/>
  <c r="K28" i="40"/>
  <c r="F38" i="40"/>
  <c r="K30" i="40"/>
  <c r="T11" i="40"/>
  <c r="U11" i="40"/>
  <c r="T10" i="40"/>
  <c r="U10" i="40"/>
  <c r="T9" i="40"/>
  <c r="U9" i="40"/>
  <c r="U8" i="40"/>
  <c r="T8" i="40"/>
  <c r="T7" i="40"/>
  <c r="U7" i="40"/>
  <c r="J4" i="40"/>
  <c r="T6" i="40"/>
  <c r="E6" i="40"/>
  <c r="T5" i="40"/>
  <c r="U5" i="40"/>
  <c r="E5" i="40"/>
  <c r="L5" i="40"/>
  <c r="E21" i="40"/>
  <c r="L21" i="40"/>
  <c r="K27" i="40"/>
  <c r="D21" i="40"/>
  <c r="L20" i="40"/>
  <c r="D20" i="40"/>
  <c r="D19" i="40"/>
  <c r="E16" i="40"/>
  <c r="L16" i="40"/>
  <c r="D16" i="40"/>
  <c r="E15" i="40"/>
  <c r="L15" i="40"/>
  <c r="D15" i="40"/>
  <c r="E14" i="40"/>
  <c r="L14" i="40"/>
  <c r="D14" i="40"/>
  <c r="E13" i="40"/>
  <c r="L13" i="40"/>
  <c r="D13" i="40"/>
  <c r="C12" i="40"/>
  <c r="E8" i="40"/>
  <c r="L8" i="40"/>
  <c r="D8" i="40"/>
  <c r="C7" i="40"/>
  <c r="O40" i="38"/>
  <c r="O38" i="38"/>
  <c r="E44" i="38"/>
  <c r="F44" i="38"/>
  <c r="G44" i="38"/>
  <c r="F42" i="38"/>
  <c r="G41" i="38"/>
  <c r="F41" i="38"/>
  <c r="F39" i="38"/>
  <c r="F38" i="38"/>
  <c r="D21" i="38"/>
  <c r="E20" i="38"/>
  <c r="D20" i="38"/>
  <c r="D19" i="38"/>
  <c r="D18" i="38"/>
  <c r="D17" i="38"/>
  <c r="D16" i="38"/>
  <c r="D15" i="38"/>
  <c r="D14" i="5"/>
  <c r="D13" i="5"/>
  <c r="D14" i="38"/>
  <c r="D13" i="38"/>
  <c r="H11" i="38"/>
  <c r="D9" i="38"/>
  <c r="H9" i="38"/>
  <c r="D8" i="38"/>
  <c r="D5" i="38"/>
  <c r="H6" i="38"/>
  <c r="H5" i="38"/>
  <c r="D4" i="38"/>
  <c r="E21" i="38"/>
  <c r="L21" i="38"/>
  <c r="E16" i="38"/>
  <c r="E15" i="38"/>
  <c r="E14" i="38"/>
  <c r="E13" i="38"/>
  <c r="C12" i="38"/>
  <c r="E8" i="38"/>
  <c r="C7" i="38"/>
  <c r="T11" i="38"/>
  <c r="U11" i="38"/>
  <c r="T10" i="38"/>
  <c r="U10" i="38"/>
  <c r="T9" i="38"/>
  <c r="U9" i="38"/>
  <c r="T8" i="38"/>
  <c r="U8" i="38"/>
  <c r="T7" i="38"/>
  <c r="U7" i="38"/>
  <c r="J4" i="38"/>
  <c r="T6" i="38"/>
  <c r="U6" i="38"/>
  <c r="J19" i="38"/>
  <c r="T5" i="38"/>
  <c r="U5" i="38"/>
  <c r="F81" i="5"/>
  <c r="K71" i="5"/>
  <c r="H68" i="5"/>
  <c r="J67" i="5"/>
  <c r="H67" i="5"/>
  <c r="J66" i="5"/>
  <c r="H66" i="5"/>
  <c r="L63" i="5"/>
  <c r="H63" i="5"/>
  <c r="H64" i="5"/>
  <c r="D62" i="5"/>
  <c r="D61" i="5"/>
  <c r="H62" i="5"/>
  <c r="J63" i="5"/>
  <c r="J62" i="5"/>
  <c r="L61" i="5"/>
  <c r="H61" i="5"/>
  <c r="H60" i="5"/>
  <c r="J64" i="5"/>
  <c r="J61" i="5"/>
  <c r="G41" i="42"/>
  <c r="G38" i="42"/>
  <c r="K29" i="42"/>
  <c r="L5" i="42"/>
  <c r="G41" i="40"/>
  <c r="G38" i="40"/>
  <c r="K29" i="40"/>
  <c r="E63" i="42"/>
  <c r="H19" i="42"/>
  <c r="I17" i="42"/>
  <c r="I18" i="42"/>
  <c r="I19" i="42"/>
  <c r="U6" i="42"/>
  <c r="G45" i="40"/>
  <c r="K26" i="40"/>
  <c r="H12" i="40"/>
  <c r="H7" i="40"/>
  <c r="H17" i="40"/>
  <c r="H18" i="40"/>
  <c r="E4" i="40"/>
  <c r="L4" i="40"/>
  <c r="I17" i="40"/>
  <c r="I18" i="40"/>
  <c r="I19" i="40"/>
  <c r="U6" i="40"/>
  <c r="G45" i="38"/>
  <c r="K26" i="38"/>
  <c r="G38" i="38"/>
  <c r="K29" i="38"/>
  <c r="L20" i="38"/>
  <c r="L15" i="38"/>
  <c r="L14" i="38"/>
  <c r="L13" i="38"/>
  <c r="I17" i="38"/>
  <c r="J18" i="38"/>
  <c r="J20" i="38"/>
  <c r="E6" i="38"/>
  <c r="J10" i="38"/>
  <c r="J17" i="38"/>
  <c r="H19" i="38"/>
  <c r="E19" i="38"/>
  <c r="L19" i="38"/>
  <c r="H18" i="38"/>
  <c r="I19" i="38"/>
  <c r="H4" i="38"/>
  <c r="E4" i="38"/>
  <c r="L4" i="38"/>
  <c r="L8" i="38"/>
  <c r="J9" i="38"/>
  <c r="J11" i="38"/>
  <c r="L16" i="38"/>
  <c r="H17" i="38"/>
  <c r="I18" i="38"/>
  <c r="E62" i="5"/>
  <c r="L62" i="5"/>
  <c r="D60" i="5"/>
  <c r="E18" i="42"/>
  <c r="L18" i="42"/>
  <c r="E17" i="42"/>
  <c r="L17" i="42"/>
  <c r="J19" i="42"/>
  <c r="J18" i="42"/>
  <c r="J17" i="42"/>
  <c r="J9" i="42"/>
  <c r="E9" i="42"/>
  <c r="L9" i="42"/>
  <c r="J20" i="42"/>
  <c r="J11" i="42"/>
  <c r="J10" i="42"/>
  <c r="E10" i="42"/>
  <c r="E11" i="42"/>
  <c r="E19" i="42"/>
  <c r="L19" i="42"/>
  <c r="H12" i="42"/>
  <c r="E19" i="40"/>
  <c r="L19" i="40"/>
  <c r="J19" i="40"/>
  <c r="J18" i="40"/>
  <c r="E18" i="40"/>
  <c r="L18" i="40"/>
  <c r="J17" i="40"/>
  <c r="E17" i="40"/>
  <c r="L17" i="40"/>
  <c r="J9" i="40"/>
  <c r="J20" i="40"/>
  <c r="J11" i="40"/>
  <c r="E11" i="40"/>
  <c r="J10" i="40"/>
  <c r="E10" i="40"/>
  <c r="E9" i="40"/>
  <c r="L9" i="40"/>
  <c r="E10" i="38"/>
  <c r="H7" i="38"/>
  <c r="E11" i="38"/>
  <c r="E17" i="38"/>
  <c r="L17" i="38"/>
  <c r="E9" i="38"/>
  <c r="L9" i="38"/>
  <c r="E5" i="38"/>
  <c r="L5" i="38"/>
  <c r="E18" i="38"/>
  <c r="L18" i="38"/>
  <c r="E60" i="5"/>
  <c r="L60" i="5"/>
  <c r="J60" i="5"/>
  <c r="P82" i="5"/>
  <c r="D21" i="5"/>
  <c r="O40" i="5"/>
  <c r="O38" i="5"/>
  <c r="L10" i="42"/>
  <c r="K24" i="42"/>
  <c r="K32" i="42"/>
  <c r="L10" i="40"/>
  <c r="K24" i="40"/>
  <c r="K32" i="40"/>
  <c r="L10" i="38"/>
  <c r="E44" i="5"/>
  <c r="F44" i="5"/>
  <c r="G44" i="5"/>
  <c r="F42" i="5"/>
  <c r="F41" i="5"/>
  <c r="F39" i="5"/>
  <c r="F38" i="5"/>
  <c r="G38" i="5"/>
  <c r="K29" i="5"/>
  <c r="K28" i="5"/>
  <c r="D20" i="5"/>
  <c r="E20" i="5"/>
  <c r="D19" i="5"/>
  <c r="D18" i="5"/>
  <c r="D17" i="5"/>
  <c r="D16" i="5"/>
  <c r="D15" i="5"/>
  <c r="G41" i="5"/>
  <c r="G45" i="5"/>
  <c r="K26" i="5"/>
  <c r="D9" i="5"/>
  <c r="D8" i="5"/>
  <c r="D5" i="5"/>
  <c r="C7" i="5"/>
  <c r="T11" i="5"/>
  <c r="U11" i="5"/>
  <c r="T10" i="5"/>
  <c r="U10" i="5"/>
  <c r="T9" i="5"/>
  <c r="U9" i="5"/>
  <c r="T8" i="5"/>
  <c r="U8" i="5"/>
  <c r="T7" i="5"/>
  <c r="U7" i="5"/>
  <c r="J4" i="5"/>
  <c r="T6" i="5"/>
  <c r="T5" i="5"/>
  <c r="U5" i="5"/>
  <c r="D4" i="5"/>
  <c r="U6" i="5"/>
  <c r="J10" i="5"/>
  <c r="H18" i="5"/>
  <c r="I18" i="5"/>
  <c r="I17" i="5"/>
  <c r="I19" i="5"/>
  <c r="H17" i="5"/>
  <c r="H6" i="5"/>
  <c r="J9" i="5"/>
  <c r="H4" i="5"/>
  <c r="E4" i="5"/>
  <c r="H9" i="5"/>
  <c r="H5" i="5"/>
  <c r="H11" i="5"/>
  <c r="H4" i="37"/>
  <c r="H37" i="37"/>
  <c r="J14" i="37"/>
  <c r="H36" i="37"/>
  <c r="H35" i="37"/>
  <c r="H34" i="37"/>
  <c r="H33" i="37"/>
  <c r="H32" i="37"/>
  <c r="G27" i="37"/>
  <c r="I27" i="37"/>
  <c r="J13" i="37"/>
  <c r="K13" i="37"/>
  <c r="U10" i="37"/>
  <c r="V10" i="37"/>
  <c r="J10" i="37"/>
  <c r="E10" i="37"/>
  <c r="L10" i="37"/>
  <c r="J15" i="37"/>
  <c r="K15" i="37"/>
  <c r="V9" i="37"/>
  <c r="U9" i="37"/>
  <c r="J9" i="37"/>
  <c r="E9" i="37"/>
  <c r="U8" i="37"/>
  <c r="V8" i="37"/>
  <c r="U7" i="37"/>
  <c r="V7" i="37"/>
  <c r="I7" i="37"/>
  <c r="H7" i="37"/>
  <c r="U6" i="37"/>
  <c r="V6" i="37"/>
  <c r="V5" i="37"/>
  <c r="J8" i="37"/>
  <c r="U5" i="37"/>
  <c r="H8" i="37"/>
  <c r="E8" i="37"/>
  <c r="E5" i="37"/>
  <c r="L5" i="37"/>
  <c r="D5" i="37"/>
  <c r="D6" i="37"/>
  <c r="D7" i="37"/>
  <c r="D8" i="37"/>
  <c r="D9" i="37"/>
  <c r="U4" i="37"/>
  <c r="V4" i="37"/>
  <c r="E4" i="37"/>
  <c r="L4" i="37"/>
  <c r="H12" i="5"/>
  <c r="J11" i="5"/>
  <c r="J19" i="5"/>
  <c r="E19" i="5"/>
  <c r="J17" i="5"/>
  <c r="E17" i="5"/>
  <c r="J20" i="5"/>
  <c r="J18" i="5"/>
  <c r="E18" i="5"/>
  <c r="H7" i="5"/>
  <c r="L8" i="37"/>
  <c r="L9" i="37"/>
  <c r="J6" i="37"/>
  <c r="E6" i="37"/>
  <c r="L6" i="37"/>
  <c r="J12" i="37"/>
  <c r="J7" i="37"/>
  <c r="E7" i="37"/>
  <c r="L7" i="37"/>
  <c r="K14" i="37"/>
  <c r="D5" i="36"/>
  <c r="D6" i="36"/>
  <c r="D7" i="36"/>
  <c r="D8" i="36"/>
  <c r="D9" i="36"/>
  <c r="D9" i="34"/>
  <c r="D8" i="34"/>
  <c r="D7" i="34"/>
  <c r="D6" i="34"/>
  <c r="H4" i="36"/>
  <c r="H37" i="36"/>
  <c r="J14" i="36"/>
  <c r="H36" i="36"/>
  <c r="H35" i="36"/>
  <c r="H34" i="36"/>
  <c r="H33" i="36"/>
  <c r="H32" i="36"/>
  <c r="G27" i="36"/>
  <c r="I27" i="36"/>
  <c r="J13" i="36"/>
  <c r="K13" i="36"/>
  <c r="V10" i="36"/>
  <c r="U10" i="36"/>
  <c r="J10" i="36"/>
  <c r="E10" i="36"/>
  <c r="L10" i="36"/>
  <c r="J15" i="36"/>
  <c r="K15" i="36"/>
  <c r="V9" i="36"/>
  <c r="U9" i="36"/>
  <c r="U8" i="36"/>
  <c r="V8" i="36"/>
  <c r="H8" i="36"/>
  <c r="U7" i="36"/>
  <c r="V7" i="36"/>
  <c r="H7" i="36"/>
  <c r="U6" i="36"/>
  <c r="V6" i="36"/>
  <c r="V5" i="36"/>
  <c r="J8" i="36"/>
  <c r="U5" i="36"/>
  <c r="I7" i="36"/>
  <c r="E5" i="36"/>
  <c r="U4" i="36"/>
  <c r="V4" i="36"/>
  <c r="E4" i="36"/>
  <c r="L4" i="36"/>
  <c r="J12" i="35"/>
  <c r="D5" i="35"/>
  <c r="D6" i="35"/>
  <c r="D7" i="35"/>
  <c r="D8" i="35"/>
  <c r="D9" i="35"/>
  <c r="H4" i="35"/>
  <c r="E4" i="35"/>
  <c r="L4" i="35"/>
  <c r="H37" i="35"/>
  <c r="J14" i="35"/>
  <c r="H36" i="35"/>
  <c r="H35" i="35"/>
  <c r="H34" i="35"/>
  <c r="H33" i="35"/>
  <c r="H32" i="35"/>
  <c r="G27" i="35"/>
  <c r="I27" i="35"/>
  <c r="J13" i="35"/>
  <c r="K13" i="35"/>
  <c r="V10" i="35"/>
  <c r="U10" i="35"/>
  <c r="J10" i="35"/>
  <c r="E10" i="35"/>
  <c r="L10" i="35"/>
  <c r="J15" i="35"/>
  <c r="K15" i="35"/>
  <c r="V9" i="35"/>
  <c r="U9" i="35"/>
  <c r="U8" i="35"/>
  <c r="V8" i="35"/>
  <c r="H8" i="35"/>
  <c r="E8" i="35"/>
  <c r="U7" i="35"/>
  <c r="V7" i="35"/>
  <c r="H7" i="35"/>
  <c r="U6" i="35"/>
  <c r="V6" i="35"/>
  <c r="V5" i="35"/>
  <c r="J8" i="35"/>
  <c r="U5" i="35"/>
  <c r="I7" i="35"/>
  <c r="E5" i="35"/>
  <c r="L5" i="35"/>
  <c r="U4" i="35"/>
  <c r="V4" i="35"/>
  <c r="I27" i="34"/>
  <c r="G27" i="34"/>
  <c r="L10" i="34"/>
  <c r="K15" i="34"/>
  <c r="K12" i="37"/>
  <c r="J17" i="37"/>
  <c r="J19" i="37"/>
  <c r="L5" i="36"/>
  <c r="E8" i="36"/>
  <c r="L8" i="36"/>
  <c r="J6" i="36"/>
  <c r="E6" i="36"/>
  <c r="L6" i="36"/>
  <c r="J7" i="36"/>
  <c r="E7" i="36"/>
  <c r="L7" i="36"/>
  <c r="J9" i="36"/>
  <c r="E9" i="36"/>
  <c r="L9" i="36"/>
  <c r="K14" i="36"/>
  <c r="L8" i="35"/>
  <c r="E7" i="35"/>
  <c r="L7" i="35"/>
  <c r="J6" i="35"/>
  <c r="E6" i="35"/>
  <c r="L6" i="35"/>
  <c r="J7" i="35"/>
  <c r="J9" i="35"/>
  <c r="E9" i="35"/>
  <c r="L9" i="35"/>
  <c r="K14" i="35"/>
  <c r="D5" i="34"/>
  <c r="H4" i="34"/>
  <c r="E10" i="34"/>
  <c r="J10" i="34"/>
  <c r="J12" i="36"/>
  <c r="J17" i="35"/>
  <c r="J19" i="35"/>
  <c r="K12" i="35"/>
  <c r="E5" i="34"/>
  <c r="J6" i="34"/>
  <c r="K12" i="36"/>
  <c r="J17" i="36"/>
  <c r="J19" i="36"/>
  <c r="E6" i="34"/>
  <c r="H7" i="34"/>
  <c r="E7" i="34"/>
  <c r="L7" i="34"/>
  <c r="J7" i="34"/>
  <c r="I7" i="34"/>
  <c r="L8" i="34"/>
  <c r="E8" i="34"/>
  <c r="J8" i="34"/>
  <c r="H8" i="34"/>
  <c r="J9" i="34"/>
  <c r="E9" i="34"/>
  <c r="L9" i="34"/>
  <c r="U10" i="34"/>
  <c r="V10" i="34"/>
  <c r="U9" i="34"/>
  <c r="V9" i="34"/>
  <c r="U8" i="34"/>
  <c r="V8" i="34"/>
  <c r="U7" i="34"/>
  <c r="V7" i="34"/>
  <c r="U6" i="34"/>
  <c r="V6" i="34"/>
  <c r="U5" i="34"/>
  <c r="V5" i="34"/>
  <c r="U4" i="34"/>
  <c r="V4" i="34"/>
  <c r="F85" i="31"/>
  <c r="F84" i="31"/>
  <c r="F83" i="31"/>
  <c r="F82" i="31"/>
  <c r="F81" i="31"/>
  <c r="F80" i="31"/>
  <c r="F79" i="31"/>
  <c r="F78" i="31"/>
  <c r="F77" i="31"/>
  <c r="F76" i="31"/>
  <c r="F75" i="31"/>
  <c r="F74" i="31"/>
  <c r="D73" i="31"/>
  <c r="F73" i="31" s="1"/>
  <c r="D33" i="31"/>
  <c r="H14" i="31"/>
  <c r="E14" i="31" s="1"/>
  <c r="K14" i="31" s="1"/>
  <c r="D14" i="31"/>
  <c r="E15" i="31"/>
  <c r="K15" i="31" s="1"/>
  <c r="R11" i="31"/>
  <c r="S11" i="31" s="1"/>
  <c r="R10" i="31"/>
  <c r="S10" i="31" s="1"/>
  <c r="R9" i="31"/>
  <c r="S9" i="31" s="1"/>
  <c r="R8" i="31"/>
  <c r="R7" i="31"/>
  <c r="S7" i="31" s="1"/>
  <c r="R6" i="31"/>
  <c r="R5" i="31"/>
  <c r="S5" i="31" s="1"/>
  <c r="E17" i="31"/>
  <c r="K17" i="31" s="1"/>
  <c r="D12" i="31"/>
  <c r="E13" i="31"/>
  <c r="K13" i="31" s="1"/>
  <c r="H5" i="31"/>
  <c r="E12" i="31"/>
  <c r="D8" i="31"/>
  <c r="H7" i="31"/>
  <c r="E7" i="31" s="1"/>
  <c r="K7" i="31" s="1"/>
  <c r="H6" i="31"/>
  <c r="E6" i="31" s="1"/>
  <c r="K6" i="31" s="1"/>
  <c r="E43" i="31"/>
  <c r="K43" i="31" s="1"/>
  <c r="S8" i="31"/>
  <c r="I34" i="31"/>
  <c r="H26" i="31"/>
  <c r="O86" i="30"/>
  <c r="O85" i="30"/>
  <c r="D86" i="30"/>
  <c r="D85" i="30"/>
  <c r="E78" i="30"/>
  <c r="F78" i="30" s="1"/>
  <c r="F77" i="30"/>
  <c r="F76" i="30"/>
  <c r="F75" i="30"/>
  <c r="F74" i="30"/>
  <c r="F73" i="30"/>
  <c r="F72" i="30"/>
  <c r="F71" i="30"/>
  <c r="F70" i="30"/>
  <c r="F69" i="30"/>
  <c r="F68" i="30"/>
  <c r="H33" i="30"/>
  <c r="E33" i="30" s="1"/>
  <c r="K33" i="30" s="1"/>
  <c r="D7" i="30"/>
  <c r="D6" i="30"/>
  <c r="D5" i="30"/>
  <c r="D4" i="30"/>
  <c r="R11" i="30"/>
  <c r="S11" i="30" s="1"/>
  <c r="R10" i="30"/>
  <c r="S10" i="30" s="1"/>
  <c r="R9" i="30"/>
  <c r="R8" i="30"/>
  <c r="R7" i="30"/>
  <c r="R6" i="30"/>
  <c r="R5" i="30"/>
  <c r="S5" i="30" s="1"/>
  <c r="O94" i="29"/>
  <c r="Q94" i="29" s="1"/>
  <c r="R94" i="29" s="1"/>
  <c r="S94" i="29" s="1"/>
  <c r="D94" i="29"/>
  <c r="F94" i="29" s="1"/>
  <c r="G94" i="29" s="1"/>
  <c r="H94" i="29" s="1"/>
  <c r="O98" i="27"/>
  <c r="Q98" i="27" s="1"/>
  <c r="R98" i="27" s="1"/>
  <c r="S98" i="27" s="1"/>
  <c r="O97" i="27"/>
  <c r="Q97" i="27" s="1"/>
  <c r="R97" i="27" s="1"/>
  <c r="S97" i="27" s="1"/>
  <c r="D98" i="27"/>
  <c r="F98" i="27" s="1"/>
  <c r="G98" i="27" s="1"/>
  <c r="H98" i="27" s="1"/>
  <c r="D97" i="27"/>
  <c r="F97" i="27" s="1"/>
  <c r="G97" i="27" s="1"/>
  <c r="H97" i="27" s="1"/>
  <c r="F89" i="27"/>
  <c r="F90" i="27"/>
  <c r="H26" i="30"/>
  <c r="H25" i="30"/>
  <c r="I26" i="30"/>
  <c r="I25" i="30"/>
  <c r="I31" i="30"/>
  <c r="I27" i="30"/>
  <c r="H13" i="30"/>
  <c r="H16" i="30"/>
  <c r="H30" i="30"/>
  <c r="S6" i="30"/>
  <c r="J29" i="30" s="1"/>
  <c r="S7" i="30"/>
  <c r="S8" i="30"/>
  <c r="J7" i="30" s="1"/>
  <c r="I8" i="30"/>
  <c r="F88" i="27"/>
  <c r="F87" i="27"/>
  <c r="F86" i="27"/>
  <c r="F85" i="27"/>
  <c r="F80" i="27"/>
  <c r="F78" i="27"/>
  <c r="J30" i="30"/>
  <c r="J13" i="30"/>
  <c r="J32" i="30"/>
  <c r="E35" i="27"/>
  <c r="K35" i="27" s="1"/>
  <c r="S10" i="27"/>
  <c r="S9" i="27"/>
  <c r="T9" i="27" s="1"/>
  <c r="S8" i="27"/>
  <c r="S7" i="27"/>
  <c r="S6" i="27"/>
  <c r="S5" i="27"/>
  <c r="S4" i="27"/>
  <c r="T4" i="27" s="1"/>
  <c r="H85" i="25"/>
  <c r="F73" i="25"/>
  <c r="F72" i="25"/>
  <c r="F69" i="25"/>
  <c r="F67" i="25"/>
  <c r="F65" i="25"/>
  <c r="D61" i="25"/>
  <c r="F61" i="25" s="1"/>
  <c r="D60" i="25"/>
  <c r="F60" i="25" s="1"/>
  <c r="D59" i="25"/>
  <c r="F59" i="25" s="1"/>
  <c r="D55" i="25"/>
  <c r="F55" i="25" s="1"/>
  <c r="D54" i="25"/>
  <c r="F54" i="25" s="1"/>
  <c r="D53" i="25"/>
  <c r="F53" i="25" s="1"/>
  <c r="D20" i="25"/>
  <c r="D19" i="25"/>
  <c r="D18" i="25"/>
  <c r="E13" i="25"/>
  <c r="K13" i="25" s="1"/>
  <c r="D10" i="25"/>
  <c r="D8" i="25"/>
  <c r="E7" i="25"/>
  <c r="K7" i="25" s="1"/>
  <c r="D82" i="25"/>
  <c r="F82" i="25" s="1"/>
  <c r="G82" i="25" s="1"/>
  <c r="H82" i="25" s="1"/>
  <c r="D81" i="25"/>
  <c r="F81" i="25" s="1"/>
  <c r="G81" i="25" s="1"/>
  <c r="H81" i="25" s="1"/>
  <c r="D64" i="25"/>
  <c r="D58" i="25"/>
  <c r="F58" i="25" s="1"/>
  <c r="D57" i="25"/>
  <c r="F57" i="25" s="1"/>
  <c r="D56" i="25"/>
  <c r="F56" i="25" s="1"/>
  <c r="D52" i="25"/>
  <c r="F52" i="25" s="1"/>
  <c r="D51" i="25"/>
  <c r="F51" i="25" s="1"/>
  <c r="E27" i="25"/>
  <c r="K27" i="25" s="1"/>
  <c r="E12" i="25"/>
  <c r="K12" i="25" s="1"/>
  <c r="R9" i="25"/>
  <c r="R6" i="25"/>
  <c r="R11" i="25"/>
  <c r="S11" i="25" s="1"/>
  <c r="R10" i="25"/>
  <c r="S10" i="25" s="1"/>
  <c r="R8" i="25"/>
  <c r="H23" i="25" s="1"/>
  <c r="R7" i="25"/>
  <c r="S7" i="25" s="1"/>
  <c r="R5" i="25"/>
  <c r="S5" i="25" s="1"/>
  <c r="K69" i="31"/>
  <c r="K63" i="30"/>
  <c r="P81" i="42"/>
  <c r="K82" i="9"/>
  <c r="K81" i="9"/>
  <c r="J69" i="31"/>
  <c r="J63" i="30"/>
  <c r="C45" i="9"/>
  <c r="C44" i="9"/>
  <c r="C42" i="9"/>
  <c r="C41" i="9"/>
  <c r="F51" i="38"/>
  <c r="K30" i="38"/>
  <c r="K28" i="38"/>
  <c r="K27" i="38"/>
  <c r="K24" i="38"/>
  <c r="K32" i="38"/>
  <c r="H37" i="34"/>
  <c r="J14" i="34"/>
  <c r="K14" i="34"/>
  <c r="C37" i="9"/>
  <c r="H36" i="34"/>
  <c r="H35" i="34"/>
  <c r="H34" i="34"/>
  <c r="H33" i="34"/>
  <c r="H32" i="34"/>
  <c r="J15" i="34"/>
  <c r="C36" i="9"/>
  <c r="L6" i="34"/>
  <c r="J12" i="34"/>
  <c r="K12" i="34"/>
  <c r="L5" i="34"/>
  <c r="E4" i="34"/>
  <c r="L4" i="34"/>
  <c r="J13" i="34"/>
  <c r="K13" i="34"/>
  <c r="C33" i="9"/>
  <c r="J17" i="34"/>
  <c r="J19" i="34"/>
  <c r="C34" i="9"/>
  <c r="D96" i="31"/>
  <c r="F96" i="31" s="1"/>
  <c r="G96" i="31" s="1"/>
  <c r="H96" i="31" s="1"/>
  <c r="D95" i="31"/>
  <c r="F95" i="31" s="1"/>
  <c r="G95" i="31" s="1"/>
  <c r="H95" i="31" s="1"/>
  <c r="D91" i="31"/>
  <c r="F91" i="31" s="1"/>
  <c r="G91" i="31" s="1"/>
  <c r="H91" i="31" s="1"/>
  <c r="D90" i="31"/>
  <c r="F90" i="31" s="1"/>
  <c r="G90" i="31" s="1"/>
  <c r="H90" i="31" s="1"/>
  <c r="H89" i="31"/>
  <c r="D69" i="31"/>
  <c r="F69" i="31" s="1"/>
  <c r="G69" i="31" s="1"/>
  <c r="J55" i="31" s="1"/>
  <c r="D68" i="31"/>
  <c r="F68" i="31" s="1"/>
  <c r="G68" i="31" s="1"/>
  <c r="J52" i="31" s="1"/>
  <c r="G67" i="31"/>
  <c r="O91" i="30"/>
  <c r="Q91" i="30" s="1"/>
  <c r="R91" i="30" s="1"/>
  <c r="S91" i="30" s="1"/>
  <c r="O90" i="30"/>
  <c r="Q90" i="30" s="1"/>
  <c r="R90" i="30" s="1"/>
  <c r="S90" i="30" s="1"/>
  <c r="Q86" i="30"/>
  <c r="R86" i="30" s="1"/>
  <c r="S86" i="30" s="1"/>
  <c r="Q85" i="30"/>
  <c r="R85" i="30" s="1"/>
  <c r="S85" i="30" s="1"/>
  <c r="S84" i="30"/>
  <c r="O100" i="29"/>
  <c r="Q100" i="29" s="1"/>
  <c r="R100" i="29" s="1"/>
  <c r="S100" i="29" s="1"/>
  <c r="O99" i="29"/>
  <c r="Q99" i="29" s="1"/>
  <c r="R99" i="29" s="1"/>
  <c r="S99" i="29" s="1"/>
  <c r="O95" i="29"/>
  <c r="Q95" i="29" s="1"/>
  <c r="R95" i="29" s="1"/>
  <c r="S95" i="29" s="1"/>
  <c r="S93" i="29"/>
  <c r="O103" i="27"/>
  <c r="Q103" i="27" s="1"/>
  <c r="R103" i="27" s="1"/>
  <c r="S103" i="27" s="1"/>
  <c r="O102" i="27"/>
  <c r="Q102" i="27" s="1"/>
  <c r="R102" i="27" s="1"/>
  <c r="S102" i="27" s="1"/>
  <c r="S96" i="27"/>
  <c r="D91" i="30"/>
  <c r="F91" i="30" s="1"/>
  <c r="G91" i="30" s="1"/>
  <c r="H91" i="30" s="1"/>
  <c r="D90" i="30"/>
  <c r="F90" i="30" s="1"/>
  <c r="G90" i="30" s="1"/>
  <c r="H90" i="30" s="1"/>
  <c r="F86" i="30"/>
  <c r="G86" i="30" s="1"/>
  <c r="H86" i="30" s="1"/>
  <c r="F85" i="30"/>
  <c r="G85" i="30" s="1"/>
  <c r="H85" i="30" s="1"/>
  <c r="H84" i="30"/>
  <c r="F80" i="30"/>
  <c r="F79" i="30"/>
  <c r="F67" i="30"/>
  <c r="G67" i="30" s="1"/>
  <c r="J47" i="30" s="1"/>
  <c r="D63" i="30"/>
  <c r="F63" i="30" s="1"/>
  <c r="G63" i="30" s="1"/>
  <c r="J49" i="30" s="1"/>
  <c r="D62" i="30"/>
  <c r="F62" i="30" s="1"/>
  <c r="G62" i="30" s="1"/>
  <c r="J46" i="30" s="1"/>
  <c r="G61" i="30"/>
  <c r="D100" i="29"/>
  <c r="F100" i="29" s="1"/>
  <c r="G100" i="29" s="1"/>
  <c r="H100" i="29" s="1"/>
  <c r="D99" i="29"/>
  <c r="F99" i="29" s="1"/>
  <c r="G99" i="29" s="1"/>
  <c r="H99" i="29" s="1"/>
  <c r="D95" i="29"/>
  <c r="F95" i="29" s="1"/>
  <c r="G95" i="29" s="1"/>
  <c r="H95" i="29" s="1"/>
  <c r="H93" i="29"/>
  <c r="L17" i="5"/>
  <c r="K79" i="9"/>
  <c r="K80" i="9"/>
  <c r="D103" i="27"/>
  <c r="F103" i="27" s="1"/>
  <c r="G103" i="27" s="1"/>
  <c r="H103" i="27" s="1"/>
  <c r="D102" i="27"/>
  <c r="F102" i="27" s="1"/>
  <c r="G102" i="27" s="1"/>
  <c r="H102" i="27" s="1"/>
  <c r="H96" i="27"/>
  <c r="F92" i="27"/>
  <c r="F91" i="27"/>
  <c r="F84" i="27"/>
  <c r="F83" i="27"/>
  <c r="F82" i="27"/>
  <c r="F81" i="27"/>
  <c r="D67" i="27"/>
  <c r="F67" i="27" s="1"/>
  <c r="G67" i="27" s="1"/>
  <c r="F74" i="25"/>
  <c r="D87" i="25"/>
  <c r="F87" i="25" s="1"/>
  <c r="G87" i="25" s="1"/>
  <c r="H87" i="25" s="1"/>
  <c r="D86" i="25"/>
  <c r="F86" i="25" s="1"/>
  <c r="G86" i="25" s="1"/>
  <c r="H86" i="25" s="1"/>
  <c r="H80" i="25"/>
  <c r="F76" i="25"/>
  <c r="F75" i="25"/>
  <c r="F71" i="25"/>
  <c r="F70" i="25"/>
  <c r="F68" i="25"/>
  <c r="F66" i="25"/>
  <c r="F64" i="25"/>
  <c r="G64" i="25" s="1"/>
  <c r="D50" i="25"/>
  <c r="F50" i="25" s="1"/>
  <c r="E6" i="25"/>
  <c r="K6" i="25" s="1"/>
  <c r="L20" i="5"/>
  <c r="F80" i="5"/>
  <c r="L19" i="5"/>
  <c r="C12" i="5"/>
  <c r="E11" i="5"/>
  <c r="E10" i="5"/>
  <c r="E9" i="5"/>
  <c r="L9" i="5"/>
  <c r="E8" i="5"/>
  <c r="L8" i="5"/>
  <c r="L10" i="5"/>
  <c r="C18" i="9"/>
  <c r="C20" i="9"/>
  <c r="D39" i="21"/>
  <c r="D38" i="21"/>
  <c r="D8" i="21"/>
  <c r="H65" i="5"/>
  <c r="C65" i="5"/>
  <c r="E64" i="5"/>
  <c r="E63" i="5"/>
  <c r="C68" i="5"/>
  <c r="E66" i="5"/>
  <c r="E61" i="5"/>
  <c r="E6" i="5"/>
  <c r="E5" i="5"/>
  <c r="L5" i="5"/>
  <c r="D18" i="21"/>
  <c r="D19" i="21"/>
  <c r="D20" i="21"/>
  <c r="D5" i="21"/>
  <c r="D6" i="21"/>
  <c r="D7" i="21"/>
  <c r="D4" i="21"/>
  <c r="D3" i="21"/>
  <c r="D52" i="21"/>
  <c r="D49" i="21"/>
  <c r="F69" i="21"/>
  <c r="D40" i="21"/>
  <c r="H31" i="21"/>
  <c r="D33" i="21"/>
  <c r="D35" i="21"/>
  <c r="D36" i="21"/>
  <c r="D37" i="21"/>
  <c r="D34" i="21"/>
  <c r="F82" i="5"/>
  <c r="K72" i="5"/>
  <c r="D16" i="21"/>
  <c r="D17" i="21"/>
  <c r="K73" i="5"/>
  <c r="D50" i="21"/>
  <c r="D51" i="21"/>
  <c r="D48" i="21"/>
  <c r="B16" i="21"/>
  <c r="B17" i="21"/>
  <c r="B3" i="21"/>
  <c r="B4" i="21"/>
  <c r="B5" i="21"/>
  <c r="B6" i="21"/>
  <c r="B7" i="21"/>
  <c r="B8" i="21"/>
  <c r="B11" i="21"/>
  <c r="B18" i="21"/>
  <c r="B19" i="21"/>
  <c r="B20" i="21"/>
  <c r="B27" i="21"/>
  <c r="H32" i="21"/>
  <c r="D27" i="21"/>
  <c r="D32" i="21"/>
  <c r="F51" i="5"/>
  <c r="K30" i="5"/>
  <c r="L18" i="5"/>
  <c r="E21" i="5"/>
  <c r="E16" i="5"/>
  <c r="L16" i="5"/>
  <c r="E15" i="5"/>
  <c r="L15" i="5"/>
  <c r="E14" i="5"/>
  <c r="L14" i="5"/>
  <c r="E13" i="5"/>
  <c r="L13" i="5"/>
  <c r="L4" i="5"/>
  <c r="L21" i="5"/>
  <c r="K27" i="5"/>
  <c r="K32" i="5"/>
  <c r="C17" i="9"/>
  <c r="E66" i="42"/>
  <c r="L66" i="42"/>
  <c r="K71" i="42"/>
  <c r="H65" i="42"/>
  <c r="K73" i="42"/>
  <c r="S6" i="25"/>
  <c r="H22" i="25"/>
  <c r="H16" i="25"/>
  <c r="I23" i="25"/>
  <c r="I10" i="25"/>
  <c r="I21" i="25"/>
  <c r="S9" i="25"/>
  <c r="J24" i="25" s="1"/>
  <c r="I15" i="25"/>
  <c r="J15" i="25"/>
  <c r="C14" i="9" l="1"/>
  <c r="H10" i="9"/>
  <c r="C8" i="9" s="1"/>
  <c r="C9" i="9" s="1"/>
  <c r="I10" i="31"/>
  <c r="I11" i="31"/>
  <c r="H11" i="31"/>
  <c r="H29" i="31"/>
  <c r="H10" i="31"/>
  <c r="I18" i="31"/>
  <c r="J31" i="30"/>
  <c r="I29" i="30"/>
  <c r="E29" i="30"/>
  <c r="K29" i="30" s="1"/>
  <c r="H36" i="30"/>
  <c r="H5" i="30"/>
  <c r="H4" i="30"/>
  <c r="I9" i="30"/>
  <c r="H10" i="30"/>
  <c r="H9" i="30"/>
  <c r="I12" i="30"/>
  <c r="I10" i="30"/>
  <c r="H12" i="30"/>
  <c r="I23" i="30"/>
  <c r="I16" i="30"/>
  <c r="H20" i="30"/>
  <c r="I22" i="30"/>
  <c r="I24" i="30" s="1"/>
  <c r="I19" i="30"/>
  <c r="H14" i="30"/>
  <c r="H17" i="30"/>
  <c r="H23" i="30"/>
  <c r="H22" i="30"/>
  <c r="H19" i="30"/>
  <c r="I13" i="30"/>
  <c r="I20" i="30"/>
  <c r="I17" i="30"/>
  <c r="I14" i="30"/>
  <c r="J16" i="30"/>
  <c r="E16" i="30" s="1"/>
  <c r="K16" i="30" s="1"/>
  <c r="H7" i="30"/>
  <c r="E7" i="30" s="1"/>
  <c r="K7" i="30" s="1"/>
  <c r="H6" i="30"/>
  <c r="J10" i="30"/>
  <c r="E10" i="30" s="1"/>
  <c r="J12" i="30"/>
  <c r="J9" i="30"/>
  <c r="J27" i="30"/>
  <c r="E27" i="30" s="1"/>
  <c r="K27" i="30" s="1"/>
  <c r="J19" i="30"/>
  <c r="J23" i="30"/>
  <c r="E23" i="30" s="1"/>
  <c r="J17" i="30"/>
  <c r="E17" i="30" s="1"/>
  <c r="J14" i="30"/>
  <c r="E14" i="30" s="1"/>
  <c r="J22" i="30"/>
  <c r="E22" i="30" s="1"/>
  <c r="K22" i="30" s="1"/>
  <c r="J20" i="30"/>
  <c r="E20" i="30" s="1"/>
  <c r="J39" i="29"/>
  <c r="J36" i="25"/>
  <c r="J47" i="27"/>
  <c r="H27" i="27"/>
  <c r="H30" i="27"/>
  <c r="I29" i="27"/>
  <c r="H29" i="27"/>
  <c r="H32" i="27"/>
  <c r="I32" i="27"/>
  <c r="H10" i="27"/>
  <c r="H9" i="27"/>
  <c r="G78" i="27"/>
  <c r="J48" i="27" s="1"/>
  <c r="J21" i="25"/>
  <c r="J17" i="25"/>
  <c r="I8" i="25"/>
  <c r="H17" i="25"/>
  <c r="I17" i="25"/>
  <c r="I19" i="25"/>
  <c r="I16" i="25"/>
  <c r="H8" i="25"/>
  <c r="I20" i="25"/>
  <c r="H19" i="25"/>
  <c r="H9" i="25"/>
  <c r="H21" i="25"/>
  <c r="S8" i="25"/>
  <c r="J18" i="25"/>
  <c r="E18" i="25" s="1"/>
  <c r="K18" i="25" s="1"/>
  <c r="I14" i="25"/>
  <c r="J5" i="25"/>
  <c r="H20" i="25"/>
  <c r="J20" i="25"/>
  <c r="H18" i="25"/>
  <c r="I18" i="25"/>
  <c r="I22" i="25"/>
  <c r="I9" i="25"/>
  <c r="J25" i="25"/>
  <c r="J4" i="25"/>
  <c r="E21" i="25"/>
  <c r="K21" i="25" s="1"/>
  <c r="J10" i="25"/>
  <c r="J8" i="25"/>
  <c r="E8" i="25" s="1"/>
  <c r="K8" i="25" s="1"/>
  <c r="J16" i="25"/>
  <c r="E16" i="25" s="1"/>
  <c r="K16" i="25" s="1"/>
  <c r="J11" i="25"/>
  <c r="J14" i="25"/>
  <c r="J19" i="25"/>
  <c r="E19" i="25" s="1"/>
  <c r="K19" i="25" s="1"/>
  <c r="H89" i="25"/>
  <c r="I11" i="25"/>
  <c r="H11" i="25"/>
  <c r="H10" i="25"/>
  <c r="C75" i="9"/>
  <c r="C15" i="9"/>
  <c r="C16" i="9"/>
  <c r="C21" i="9"/>
  <c r="E13" i="30"/>
  <c r="K13" i="30" s="1"/>
  <c r="O49" i="30"/>
  <c r="H93" i="30"/>
  <c r="S93" i="30"/>
  <c r="J6" i="30"/>
  <c r="E6" i="30" s="1"/>
  <c r="K6" i="30" s="1"/>
  <c r="J8" i="30"/>
  <c r="J25" i="30"/>
  <c r="E25" i="30" s="1"/>
  <c r="K25" i="30" s="1"/>
  <c r="J26" i="30"/>
  <c r="E26" i="30" s="1"/>
  <c r="K26" i="30" s="1"/>
  <c r="E19" i="30"/>
  <c r="K19" i="30" s="1"/>
  <c r="S9" i="30"/>
  <c r="I30" i="30"/>
  <c r="E30" i="30" s="1"/>
  <c r="K30" i="30" s="1"/>
  <c r="I32" i="30"/>
  <c r="H34" i="30"/>
  <c r="E34" i="30" s="1"/>
  <c r="K34" i="30" s="1"/>
  <c r="H31" i="30"/>
  <c r="E31" i="30" s="1"/>
  <c r="K31" i="30" s="1"/>
  <c r="H8" i="30"/>
  <c r="H32" i="30"/>
  <c r="E32" i="30" s="1"/>
  <c r="K32" i="30" s="1"/>
  <c r="H34" i="31"/>
  <c r="H40" i="31"/>
  <c r="H42" i="31"/>
  <c r="I37" i="31"/>
  <c r="I35" i="31"/>
  <c r="H38" i="31"/>
  <c r="H36" i="31"/>
  <c r="H35" i="31"/>
  <c r="I42" i="31"/>
  <c r="I41" i="31"/>
  <c r="H41" i="31"/>
  <c r="H39" i="31"/>
  <c r="I36" i="31"/>
  <c r="I40" i="31"/>
  <c r="I38" i="31"/>
  <c r="I39" i="31"/>
  <c r="H37" i="31"/>
  <c r="H33" i="31"/>
  <c r="S6" i="31"/>
  <c r="J11" i="31" s="1"/>
  <c r="I9" i="31"/>
  <c r="H8" i="31"/>
  <c r="H19" i="31"/>
  <c r="H32" i="31"/>
  <c r="H22" i="31"/>
  <c r="K12" i="31"/>
  <c r="I19" i="31"/>
  <c r="H18" i="31"/>
  <c r="I33" i="31"/>
  <c r="H24" i="31"/>
  <c r="I8" i="31"/>
  <c r="J32" i="31"/>
  <c r="I22" i="31"/>
  <c r="H21" i="31"/>
  <c r="I24" i="31"/>
  <c r="H9" i="31"/>
  <c r="J53" i="31"/>
  <c r="H4" i="31"/>
  <c r="J5" i="31"/>
  <c r="E5" i="31" s="1"/>
  <c r="K5" i="31" s="1"/>
  <c r="J4" i="31"/>
  <c r="J44" i="31"/>
  <c r="H98" i="31"/>
  <c r="C53" i="9" s="1"/>
  <c r="J27" i="31"/>
  <c r="I29" i="31"/>
  <c r="H30" i="31"/>
  <c r="I26" i="31"/>
  <c r="I30" i="31"/>
  <c r="H27" i="31"/>
  <c r="I27" i="31"/>
  <c r="H44" i="31"/>
  <c r="I21" i="31"/>
  <c r="I32" i="31"/>
  <c r="F81" i="30"/>
  <c r="J48" i="30" s="1"/>
  <c r="S102" i="29"/>
  <c r="K16" i="29"/>
  <c r="E9" i="29"/>
  <c r="K9" i="29" s="1"/>
  <c r="H33" i="27"/>
  <c r="I34" i="27"/>
  <c r="I33" i="27"/>
  <c r="H31" i="27"/>
  <c r="I27" i="27"/>
  <c r="I17" i="27"/>
  <c r="I10" i="27"/>
  <c r="I30" i="27"/>
  <c r="I23" i="27"/>
  <c r="I16" i="27"/>
  <c r="I28" i="27"/>
  <c r="I22" i="27"/>
  <c r="I13" i="27"/>
  <c r="I31" i="27"/>
  <c r="H28" i="27"/>
  <c r="I19" i="27"/>
  <c r="H12" i="27"/>
  <c r="H36" i="27"/>
  <c r="E36" i="27" s="1"/>
  <c r="K36" i="27" s="1"/>
  <c r="I12" i="27"/>
  <c r="H8" i="27"/>
  <c r="I9" i="27"/>
  <c r="I8" i="27"/>
  <c r="G56" i="25"/>
  <c r="J37" i="25" s="1"/>
  <c r="G50" i="25"/>
  <c r="J34" i="25" s="1"/>
  <c r="J9" i="25"/>
  <c r="E9" i="25" s="1"/>
  <c r="K9" i="25" s="1"/>
  <c r="F77" i="25"/>
  <c r="H15" i="25"/>
  <c r="E15" i="25" s="1"/>
  <c r="K15" i="25" s="1"/>
  <c r="H14" i="25"/>
  <c r="E10" i="25"/>
  <c r="K10" i="25" s="1"/>
  <c r="H25" i="25"/>
  <c r="E25" i="25" s="1"/>
  <c r="H24" i="25"/>
  <c r="H5" i="25"/>
  <c r="E5" i="25" s="1"/>
  <c r="K5" i="25" s="1"/>
  <c r="H4" i="25"/>
  <c r="E4" i="25" s="1"/>
  <c r="K4" i="25" s="1"/>
  <c r="O55" i="31"/>
  <c r="H102" i="29"/>
  <c r="K13" i="29"/>
  <c r="K22" i="29"/>
  <c r="K19" i="29"/>
  <c r="H34" i="27"/>
  <c r="T7" i="27"/>
  <c r="I20" i="27"/>
  <c r="H17" i="27"/>
  <c r="H23" i="27"/>
  <c r="H20" i="27"/>
  <c r="H16" i="27"/>
  <c r="I14" i="27"/>
  <c r="H22" i="27"/>
  <c r="H19" i="27"/>
  <c r="H14" i="27"/>
  <c r="H13" i="27"/>
  <c r="H25" i="27"/>
  <c r="H26" i="27"/>
  <c r="T10" i="27"/>
  <c r="I26" i="27"/>
  <c r="I25" i="27"/>
  <c r="T5" i="27"/>
  <c r="F93" i="27"/>
  <c r="J49" i="27" s="1"/>
  <c r="H105" i="27"/>
  <c r="S105" i="27"/>
  <c r="T8" i="27"/>
  <c r="T6" i="27"/>
  <c r="C10" i="9" l="1"/>
  <c r="E11" i="31"/>
  <c r="J10" i="31"/>
  <c r="E10" i="31" s="1"/>
  <c r="K10" i="31" s="1"/>
  <c r="J34" i="31"/>
  <c r="E34" i="31" s="1"/>
  <c r="K34" i="31" s="1"/>
  <c r="J30" i="31"/>
  <c r="E30" i="31" s="1"/>
  <c r="J24" i="31"/>
  <c r="E24" i="31" s="1"/>
  <c r="K24" i="31" s="1"/>
  <c r="J21" i="31"/>
  <c r="E21" i="31" s="1"/>
  <c r="J33" i="31"/>
  <c r="E33" i="31" s="1"/>
  <c r="K33" i="31" s="1"/>
  <c r="E32" i="31"/>
  <c r="K32" i="31" s="1"/>
  <c r="J19" i="31"/>
  <c r="E19" i="31" s="1"/>
  <c r="E44" i="31"/>
  <c r="K44" i="31" s="1"/>
  <c r="J48" i="31" s="1"/>
  <c r="O52" i="31" s="1"/>
  <c r="H11" i="30"/>
  <c r="I21" i="30"/>
  <c r="I15" i="30"/>
  <c r="I18" i="30"/>
  <c r="J44" i="30"/>
  <c r="E9" i="30"/>
  <c r="K9" i="30" s="1"/>
  <c r="E12" i="30"/>
  <c r="K12" i="30" s="1"/>
  <c r="O36" i="25"/>
  <c r="J32" i="27"/>
  <c r="E32" i="27" s="1"/>
  <c r="K32" i="27" s="1"/>
  <c r="J29" i="27"/>
  <c r="E29" i="27" s="1"/>
  <c r="K29" i="27" s="1"/>
  <c r="E17" i="25"/>
  <c r="K17" i="25" s="1"/>
  <c r="E11" i="25"/>
  <c r="K11" i="25" s="1"/>
  <c r="E20" i="25"/>
  <c r="K20" i="25" s="1"/>
  <c r="J22" i="25"/>
  <c r="E22" i="25" s="1"/>
  <c r="K22" i="25" s="1"/>
  <c r="J23" i="25"/>
  <c r="E23" i="25" s="1"/>
  <c r="K23" i="25" s="1"/>
  <c r="E14" i="25"/>
  <c r="K14" i="25" s="1"/>
  <c r="J4" i="30"/>
  <c r="E4" i="30" s="1"/>
  <c r="K4" i="30" s="1"/>
  <c r="J5" i="30"/>
  <c r="E5" i="30" s="1"/>
  <c r="K5" i="30" s="1"/>
  <c r="J36" i="30"/>
  <c r="E36" i="30" s="1"/>
  <c r="K36" i="30" s="1"/>
  <c r="J42" i="30" s="1"/>
  <c r="O46" i="30" s="1"/>
  <c r="E8" i="30"/>
  <c r="K8" i="30" s="1"/>
  <c r="H23" i="31"/>
  <c r="H20" i="31"/>
  <c r="J18" i="31"/>
  <c r="E18" i="31" s="1"/>
  <c r="J40" i="31"/>
  <c r="E40" i="31" s="1"/>
  <c r="K40" i="31" s="1"/>
  <c r="J42" i="31"/>
  <c r="E42" i="31" s="1"/>
  <c r="K42" i="31" s="1"/>
  <c r="J38" i="31"/>
  <c r="E38" i="31" s="1"/>
  <c r="K38" i="31" s="1"/>
  <c r="J41" i="31"/>
  <c r="E41" i="31" s="1"/>
  <c r="K41" i="31" s="1"/>
  <c r="J37" i="31"/>
  <c r="E37" i="31" s="1"/>
  <c r="K37" i="31" s="1"/>
  <c r="J36" i="31"/>
  <c r="J22" i="31"/>
  <c r="E22" i="31" s="1"/>
  <c r="J39" i="31"/>
  <c r="E39" i="31" s="1"/>
  <c r="K39" i="31" s="1"/>
  <c r="J9" i="31"/>
  <c r="E9" i="31" s="1"/>
  <c r="K9" i="31" s="1"/>
  <c r="J26" i="31"/>
  <c r="E26" i="31" s="1"/>
  <c r="J35" i="31"/>
  <c r="E35" i="31" s="1"/>
  <c r="K35" i="31" s="1"/>
  <c r="J8" i="31"/>
  <c r="E8" i="31" s="1"/>
  <c r="K8" i="31" s="1"/>
  <c r="J29" i="31"/>
  <c r="E29" i="31" s="1"/>
  <c r="E36" i="31"/>
  <c r="K36" i="31" s="1"/>
  <c r="E27" i="31"/>
  <c r="E4" i="31"/>
  <c r="K4" i="31" s="1"/>
  <c r="I28" i="31"/>
  <c r="I31" i="31"/>
  <c r="O48" i="30"/>
  <c r="I18" i="27"/>
  <c r="J10" i="27"/>
  <c r="E10" i="27" s="1"/>
  <c r="J9" i="27"/>
  <c r="E9" i="27" s="1"/>
  <c r="J38" i="27"/>
  <c r="E38" i="27" s="1"/>
  <c r="K38" i="27" s="1"/>
  <c r="J5" i="27"/>
  <c r="E5" i="27" s="1"/>
  <c r="K5" i="27" s="1"/>
  <c r="H11" i="27"/>
  <c r="H26" i="25"/>
  <c r="E24" i="25"/>
  <c r="K24" i="25" s="1"/>
  <c r="J30" i="25" s="1"/>
  <c r="O34" i="25" s="1"/>
  <c r="O37" i="25"/>
  <c r="J34" i="27"/>
  <c r="E34" i="27" s="1"/>
  <c r="K34" i="27" s="1"/>
  <c r="J30" i="27"/>
  <c r="E30" i="27" s="1"/>
  <c r="K30" i="27" s="1"/>
  <c r="J31" i="27"/>
  <c r="E31" i="27" s="1"/>
  <c r="K31" i="27" s="1"/>
  <c r="I21" i="27"/>
  <c r="I24" i="27"/>
  <c r="I15" i="27"/>
  <c r="J12" i="27"/>
  <c r="E12" i="27" s="1"/>
  <c r="K12" i="27" s="1"/>
  <c r="J17" i="27"/>
  <c r="E17" i="27" s="1"/>
  <c r="J14" i="27"/>
  <c r="E14" i="27" s="1"/>
  <c r="J22" i="27"/>
  <c r="J16" i="27"/>
  <c r="J19" i="27"/>
  <c r="E19" i="27" s="1"/>
  <c r="J13" i="27"/>
  <c r="E13" i="27" s="1"/>
  <c r="K13" i="27" s="1"/>
  <c r="J23" i="27"/>
  <c r="E23" i="27" s="1"/>
  <c r="J20" i="27"/>
  <c r="E20" i="27" s="1"/>
  <c r="J26" i="27"/>
  <c r="E26" i="27" s="1"/>
  <c r="K26" i="27" s="1"/>
  <c r="J33" i="27"/>
  <c r="E33" i="27" s="1"/>
  <c r="K33" i="27" s="1"/>
  <c r="O51" i="27"/>
  <c r="J27" i="27"/>
  <c r="E27" i="27" s="1"/>
  <c r="K27" i="27" s="1"/>
  <c r="J28" i="27"/>
  <c r="E28" i="27" s="1"/>
  <c r="K28" i="27" s="1"/>
  <c r="J25" i="27"/>
  <c r="E25" i="27" s="1"/>
  <c r="K25" i="27" s="1"/>
  <c r="J4" i="27"/>
  <c r="E4" i="27" s="1"/>
  <c r="K4" i="27" s="1"/>
  <c r="J8" i="27"/>
  <c r="E8" i="27" s="1"/>
  <c r="K8" i="27" s="1"/>
  <c r="J37" i="27"/>
  <c r="E37" i="27" s="1"/>
  <c r="K37" i="27" s="1"/>
  <c r="E6" i="27"/>
  <c r="K6" i="27" s="1"/>
  <c r="C64" i="9"/>
  <c r="K18" i="31" l="1"/>
  <c r="K21" i="31"/>
  <c r="K11" i="31"/>
  <c r="J43" i="30"/>
  <c r="J53" i="30" s="1"/>
  <c r="J55" i="30" s="1"/>
  <c r="J43" i="27"/>
  <c r="J42" i="27"/>
  <c r="O33" i="25"/>
  <c r="K26" i="31"/>
  <c r="K29" i="31"/>
  <c r="K9" i="27"/>
  <c r="O44" i="29"/>
  <c r="K19" i="27"/>
  <c r="E22" i="27"/>
  <c r="K22" i="27" s="1"/>
  <c r="E16" i="27"/>
  <c r="O45" i="30" l="1"/>
  <c r="J41" i="25"/>
  <c r="J43" i="25" s="1"/>
  <c r="K16" i="27"/>
  <c r="J44" i="27" s="1"/>
  <c r="J59" i="31" l="1"/>
  <c r="O51" i="31"/>
  <c r="D58" i="27"/>
  <c r="D60" i="27" s="1"/>
  <c r="O46" i="27"/>
  <c r="J54" i="31"/>
  <c r="O54" i="31" s="1"/>
  <c r="J61" i="31" l="1"/>
  <c r="C55" i="9" s="1"/>
</calcChain>
</file>

<file path=xl/sharedStrings.xml><?xml version="1.0" encoding="utf-8"?>
<sst xmlns="http://schemas.openxmlformats.org/spreadsheetml/2006/main" count="2530" uniqueCount="468">
  <si>
    <t>LOC.</t>
  </si>
  <si>
    <t>VARILLAS</t>
  </si>
  <si>
    <t>DIAMETRO</t>
  </si>
  <si>
    <t>NUMERO</t>
  </si>
  <si>
    <t>LONG.TOTAL</t>
  </si>
  <si>
    <t>CROQUIS</t>
  </si>
  <si>
    <t>A</t>
  </si>
  <si>
    <t>a</t>
  </si>
  <si>
    <t>b</t>
  </si>
  <si>
    <t>peso</t>
  </si>
  <si>
    <t>CABEZAL</t>
  </si>
  <si>
    <t>B</t>
  </si>
  <si>
    <t>C</t>
  </si>
  <si>
    <t>D</t>
  </si>
  <si>
    <t>E</t>
  </si>
  <si>
    <t>G</t>
  </si>
  <si>
    <t>8C</t>
  </si>
  <si>
    <t>6C</t>
  </si>
  <si>
    <t>4C</t>
  </si>
  <si>
    <t>var</t>
  </si>
  <si>
    <t>pulg.</t>
  </si>
  <si>
    <t>3/8</t>
  </si>
  <si>
    <t>1/2</t>
  </si>
  <si>
    <t>5/8</t>
  </si>
  <si>
    <t>3/4</t>
  </si>
  <si>
    <t>peso/ml</t>
  </si>
  <si>
    <t>BANCOS DE APOYO</t>
  </si>
  <si>
    <t>TOPE SISMICO</t>
  </si>
  <si>
    <t>c</t>
  </si>
  <si>
    <t>m3</t>
  </si>
  <si>
    <t>kg</t>
  </si>
  <si>
    <t>M=</t>
  </si>
  <si>
    <t>m=</t>
  </si>
  <si>
    <t>LOSA</t>
  </si>
  <si>
    <t>CC</t>
  </si>
  <si>
    <t>F1</t>
  </si>
  <si>
    <t>F2</t>
  </si>
  <si>
    <t>E1</t>
  </si>
  <si>
    <t>E2</t>
  </si>
  <si>
    <t>altura</t>
  </si>
  <si>
    <t>area</t>
  </si>
  <si>
    <t xml:space="preserve">volumen de concreto </t>
  </si>
  <si>
    <t>long./altura</t>
  </si>
  <si>
    <t>OK</t>
  </si>
  <si>
    <t>d</t>
  </si>
  <si>
    <t>pza</t>
  </si>
  <si>
    <t>K</t>
  </si>
  <si>
    <t>L</t>
  </si>
  <si>
    <t>Concreto de f'c=350 kg/cm2</t>
  </si>
  <si>
    <t>CONCEPTO</t>
  </si>
  <si>
    <t>REMATE DE PARAPETO</t>
  </si>
  <si>
    <t>UNIDAD</t>
  </si>
  <si>
    <t>CANTIDAD</t>
  </si>
  <si>
    <t>Acero de refuerzo de L.E.4200Kg/cm2 en remates.</t>
  </si>
  <si>
    <t>Concreto de f'c=250 Kg/cm2 en remates.</t>
  </si>
  <si>
    <t>PILASTRAS</t>
  </si>
  <si>
    <t>Acero estructural A-36</t>
  </si>
  <si>
    <t>Pernos de 2.54∅x20 con tuerca</t>
  </si>
  <si>
    <t>GUARNICIÓN Y PARAPETO SOBRE LOSA</t>
  </si>
  <si>
    <t>Acero de refuerzo de L.E.4200Kg/cm2.</t>
  </si>
  <si>
    <t>Concreto de f'c=250 Kg/cm2.</t>
  </si>
  <si>
    <t>SUPERESTRUCTURA, (LOSA  DE RODAMIENTO Y DIAFRAGMAS)</t>
  </si>
  <si>
    <t>Acero de refuerzo fy &gt; 4200 kg/cm2</t>
  </si>
  <si>
    <t>Acero estructural (Placas, tuercas y rondanas).</t>
  </si>
  <si>
    <t>Carpeta asfáltica de esp. 4cm.</t>
  </si>
  <si>
    <t>Acero de presfuerzo, torones de 1.27∅ con</t>
  </si>
  <si>
    <t xml:space="preserve">Acero de refuerzo de L.E. 4200 Kg/cm2 </t>
  </si>
  <si>
    <t xml:space="preserve">Concreto de f'c=350 Kg/cm2 </t>
  </si>
  <si>
    <t>Neopreno ASTM D2240, Dureza Shore 60(ft=100Kg/cm2)</t>
  </si>
  <si>
    <t>m2</t>
  </si>
  <si>
    <t>Acero de refuerzo de L.E. 4200 Kg/cm2 (Cabezal,bancos. etc)</t>
  </si>
  <si>
    <t>Concreto de f'c=250 Kg/cm2 (Cabezal,bancos y topes)</t>
  </si>
  <si>
    <t>ACCESOS</t>
  </si>
  <si>
    <t>Terraplenes</t>
  </si>
  <si>
    <t>Carpeta asfáltica</t>
  </si>
  <si>
    <t>Riego de impregnacion</t>
  </si>
  <si>
    <t>Defensa de lamina galvanizada</t>
  </si>
  <si>
    <t>Malla electrosoldada tipo 6x6-3/3</t>
  </si>
  <si>
    <t>Cartón asfáltado de 2 cm de espesor</t>
  </si>
  <si>
    <t>Excavaciones</t>
  </si>
  <si>
    <t>Acero de refuerzo de L.E. 4200 kg/cm2</t>
  </si>
  <si>
    <t>Espesor</t>
  </si>
  <si>
    <t>Ancho</t>
  </si>
  <si>
    <t>Volumen de carpeta asfáltica</t>
  </si>
  <si>
    <t>Varilla "CC" con rosca en extremos</t>
  </si>
  <si>
    <t>volumen 1 apoyo</t>
  </si>
  <si>
    <t>Acero A-36</t>
  </si>
  <si>
    <t>dm3</t>
  </si>
  <si>
    <t>Δ=</t>
  </si>
  <si>
    <t>Junta de expansión tipo FREY-MEX T-50</t>
  </si>
  <si>
    <t>ml</t>
  </si>
  <si>
    <t>L.R. 19,000 Kg/cm2 de Baja Relajación</t>
  </si>
  <si>
    <t>Cantidad total</t>
  </si>
  <si>
    <t xml:space="preserve">Longitud total </t>
  </si>
  <si>
    <t>Tubo de acero galvanizado 7.6 Ø (3") ced.40</t>
  </si>
  <si>
    <t>Tubo de acero galvanizado 6.4 Ø (2 1/2") ced.40</t>
  </si>
  <si>
    <t>SUBESTRUCTURA</t>
  </si>
  <si>
    <t>pzas</t>
  </si>
  <si>
    <t>Ga</t>
  </si>
  <si>
    <t>Gb</t>
  </si>
  <si>
    <t>Gc</t>
  </si>
  <si>
    <t>D1</t>
  </si>
  <si>
    <t>|</t>
  </si>
  <si>
    <t>Cabezal</t>
  </si>
  <si>
    <t>RESUMEN DE MATERIALES</t>
  </si>
  <si>
    <t>Perforación para pilas</t>
  </si>
  <si>
    <t>DIAFRAGMAS</t>
  </si>
  <si>
    <t>Losa y diafragmas</t>
  </si>
  <si>
    <t>Acero estructural A-36 (placas, tuercas y rondanas)</t>
  </si>
  <si>
    <t>Concreto asfáltico</t>
  </si>
  <si>
    <t>J1</t>
  </si>
  <si>
    <t>RESUMEN DE MATERIALES POR UNA TRABE</t>
  </si>
  <si>
    <t>TRABE</t>
  </si>
  <si>
    <t>1 TRABE</t>
  </si>
  <si>
    <t>Concreto de f'c=250 kg/cm2</t>
  </si>
  <si>
    <t>Varillas CC con rosca en sus extremos LE ≥4000 kg/cm2</t>
  </si>
  <si>
    <t>Acero de refuerzo de L.E. ≥ 4000 kg/cm2</t>
  </si>
  <si>
    <t>Acero de presfuerzo: torones de 1.27 L.R. ≥ 19,000 kg/cm2</t>
  </si>
  <si>
    <t>Cables tipo cascabel galvanizado serie G-37 con alma de acero de 2.22 Ø para izado</t>
  </si>
  <si>
    <t>J</t>
  </si>
  <si>
    <t>RESUMEN DE MATERIALES LOSA DE RODAMIENTO</t>
  </si>
  <si>
    <t>Long. Toron</t>
  </si>
  <si>
    <t>ANCHO</t>
  </si>
  <si>
    <t>VOLUMEN</t>
  </si>
  <si>
    <t>ESPESOR</t>
  </si>
  <si>
    <t>LARGO</t>
  </si>
  <si>
    <t>Volumen de acero</t>
  </si>
  <si>
    <t>Peso volumetrico del acero</t>
  </si>
  <si>
    <t>kg/m3</t>
  </si>
  <si>
    <t>vol de acero</t>
  </si>
  <si>
    <t>peso vol. De acero</t>
  </si>
  <si>
    <t>Vol. De acero</t>
  </si>
  <si>
    <t>Vol. Efectivo de concreto</t>
  </si>
  <si>
    <t>Concreto sin vol. De acero refuerzo f'c=250 kg/cm2</t>
  </si>
  <si>
    <t>Vol. Efectivo</t>
  </si>
  <si>
    <t>KG</t>
  </si>
  <si>
    <t>Tubo de acero galvanizado 7.6 Ø (3") ced.40  X ML</t>
  </si>
  <si>
    <t>Tubo de acero galvanizado 5.1 Ø (2") ced.40 X ML</t>
  </si>
  <si>
    <t>Tubo de acero galvanizado 6.4 Ø (2 1/2") ced.40 X JUNTA</t>
  </si>
  <si>
    <t>Tubo de acero galvanizado 3.8 Ø (1 1/2") ced.40 X JUNTA</t>
  </si>
  <si>
    <t>AX</t>
  </si>
  <si>
    <t>volumen concreto en losa</t>
  </si>
  <si>
    <t>volumen concreto en diaf</t>
  </si>
  <si>
    <t>ok</t>
  </si>
  <si>
    <t>ALERO</t>
  </si>
  <si>
    <t>orilla de alero</t>
  </si>
  <si>
    <t>tope 2</t>
  </si>
  <si>
    <t>m3 conc.</t>
  </si>
  <si>
    <t>m3 excav.</t>
  </si>
  <si>
    <t>1 pza dm3</t>
  </si>
  <si>
    <t xml:space="preserve">  </t>
  </si>
  <si>
    <t>diamt.</t>
  </si>
  <si>
    <t>total</t>
  </si>
  <si>
    <t>total kg</t>
  </si>
  <si>
    <t>aashto 4</t>
  </si>
  <si>
    <t>aashto 6</t>
  </si>
  <si>
    <t>aashto 5</t>
  </si>
  <si>
    <t>longitud</t>
  </si>
  <si>
    <t>aashto 1</t>
  </si>
  <si>
    <t>aashto 2</t>
  </si>
  <si>
    <t>aashto 3</t>
  </si>
  <si>
    <t>torones de 1.27 L.R. ≥ 19,000 kg/cm2</t>
  </si>
  <si>
    <t>kg/ml</t>
  </si>
  <si>
    <t>cable tipo cascabel de 2.2 Ø para izado</t>
  </si>
  <si>
    <t>ACERO ESPECIAL (TABLA APOYO)</t>
  </si>
  <si>
    <t>CONCRETO TRABE (area m2)TABLA APOYO</t>
  </si>
  <si>
    <t>CANTIDAD DE TOTRONES POR TRABE</t>
  </si>
  <si>
    <t>TRABES</t>
  </si>
  <si>
    <t>volumen  1 pila</t>
  </si>
  <si>
    <t>radio pila</t>
  </si>
  <si>
    <t>ductos de plastico</t>
  </si>
  <si>
    <t>diafragmas</t>
  </si>
  <si>
    <t>ductos  x difragma</t>
  </si>
  <si>
    <t>volumen 1 pza m3</t>
  </si>
  <si>
    <t>Acero A-36 en neop.</t>
  </si>
  <si>
    <t>NEOP EN BANCO</t>
  </si>
  <si>
    <t>Neopreno .3x.35</t>
  </si>
  <si>
    <t>2 pzas</t>
  </si>
  <si>
    <t>NEOP EN TOPE SISM.</t>
  </si>
  <si>
    <t>TOTAL EN DM3 DE NEOPRENO</t>
  </si>
  <si>
    <t>KG/PZA</t>
  </si>
  <si>
    <t>longitud de juntas</t>
  </si>
  <si>
    <t>acero pilas</t>
  </si>
  <si>
    <t>concreto pilas</t>
  </si>
  <si>
    <t>acero cabezal</t>
  </si>
  <si>
    <t>concreto cabezal</t>
  </si>
  <si>
    <t>RESUMEN</t>
  </si>
  <si>
    <t xml:space="preserve">SUELO CEMENTO PROPORCIÓN 1:8,  CON ESPESOR DE 0.80M </t>
  </si>
  <si>
    <t>LONGITUD DE JUNTAS</t>
  </si>
  <si>
    <t>PZAS</t>
  </si>
  <si>
    <t>ESTACION</t>
  </si>
  <si>
    <t>inicial</t>
  </si>
  <si>
    <t>ancho de camino</t>
  </si>
  <si>
    <t>Base hidraulica</t>
  </si>
  <si>
    <t>Peso de poste de acero Perfil tipo ipr DE 152.4 X 101.6 x 1700 mm</t>
  </si>
  <si>
    <t>Volumen Caja amortiguadora mas losa de entrada =</t>
  </si>
  <si>
    <t>Postes de acero Perfil tipo IPR de 152.4 x 101.6 mm</t>
  </si>
  <si>
    <t>Area seccion de lavadero</t>
  </si>
  <si>
    <t>Lavaderos de concreto simple (f'c = 150 kg/cm2)</t>
  </si>
  <si>
    <t>No. De postes</t>
  </si>
  <si>
    <t>No de Lavaderos</t>
  </si>
  <si>
    <t>LOSAS DE PROTECCION</t>
  </si>
  <si>
    <t>suma de Longitud total de lavaderos (sin caja ni entrada)</t>
  </si>
  <si>
    <t>areas losa de proteccion eje 1</t>
  </si>
  <si>
    <t>areas losa de proteccion eje 2</t>
  </si>
  <si>
    <t>perimetro losa de proteccion eje 1 (cono)</t>
  </si>
  <si>
    <t>perimetro losa de proteccion eje 2 (cono)</t>
  </si>
  <si>
    <t>* DATOS OBTENIDOS DE LAS SECCIONES</t>
  </si>
  <si>
    <t>TOTAL M3</t>
  </si>
  <si>
    <t>longitud del eje al cademaniento posterior mas cercano</t>
  </si>
  <si>
    <t>longitud del eje al cademaniento anterior mas cercano</t>
  </si>
  <si>
    <t>LONGITUD  DE ACCESO DE ENTRADA</t>
  </si>
  <si>
    <t>LONGITUD DE ACCESO DE SALIDA</t>
  </si>
  <si>
    <t>JUNTA DE DILATACION EN LOSAS DE RODAMIENTO</t>
  </si>
  <si>
    <t>LISTA DE VARILLAS EN LOSAS DE ACCESO</t>
  </si>
  <si>
    <t>RESUMEN DE MATERIALES LOSAS DE ACCESO</t>
  </si>
  <si>
    <t>longitud del camino</t>
  </si>
  <si>
    <t xml:space="preserve">longitud del puente </t>
  </si>
  <si>
    <t>espesor de subrasante</t>
  </si>
  <si>
    <t>espesor del asfalto en puente</t>
  </si>
  <si>
    <t>espesor del asfalto en accesos</t>
  </si>
  <si>
    <t>*LOS TERRAPLENES NO MIDEN TODA LA LONGITUD DE LOS ACCESOS, AL PRINCIPIO A VECES SE RALIZA UN CORTE EN VEZ DE UN RELLENO</t>
  </si>
  <si>
    <t>longitud de terraplenes (accesos)</t>
  </si>
  <si>
    <t>* EN LOS PSV LOS ACCESOS SE CONTEMPLARAN 40 MTS ANTES Y 40 METROS DESPUES DEL PUENTE</t>
  </si>
  <si>
    <t>*EN LOS PIV LOS ACCESOS SE CONSIDERARAN DESDE DONDE INICIA EL TERRAPLEN HASTA DONDE TERMINA (EXCLUYENDO EL PUENTE)</t>
  </si>
  <si>
    <t>espesor de base hidraulica</t>
  </si>
  <si>
    <t>subrasante</t>
  </si>
  <si>
    <t>*para piv sin camino existente</t>
  </si>
  <si>
    <t>Peso de defensa galvanizada por tramo de 190.5 mm (por poste)</t>
  </si>
  <si>
    <t>M3</t>
  </si>
  <si>
    <t>EN LOS PIV QUE SE PROPONEN SOBRE CAMINOS EXITENTES LLEVAN LOSADE ACCESO</t>
  </si>
  <si>
    <t>longitud de camino para calculo de base, carpeta y riego</t>
  </si>
  <si>
    <t xml:space="preserve">EN LOS PIV QUE SE PROPONEN SOBRE CAMINOS DE TERRACERIA LLEVAN SUELOCEMENTO Y NO SE CONTEMPLARA BASE NI CARPETA </t>
  </si>
  <si>
    <t>PARA LOS PSV LAS CAPAS QUE SE CONSIDERARAN SON</t>
  </si>
  <si>
    <t>SUBRASANTE = .3</t>
  </si>
  <si>
    <t>BASE HIDRAULICA= .24</t>
  </si>
  <si>
    <t>BASE ASFALTICA =.13</t>
  </si>
  <si>
    <t>CARPETA= .08</t>
  </si>
  <si>
    <t>Concreto simple de f'c = 150 kg/cm2 en losa</t>
  </si>
  <si>
    <t>Concreto simple de f'c = 150 kg/cm2 en dentellon</t>
  </si>
  <si>
    <t>concreto para dentellon por ml</t>
  </si>
  <si>
    <t>excavacion para dentellon por ml .3x.5</t>
  </si>
  <si>
    <t>juegos</t>
  </si>
  <si>
    <t>3C</t>
  </si>
  <si>
    <t>5C</t>
  </si>
  <si>
    <t>MURO RESPALDO</t>
  </si>
  <si>
    <t>pilas</t>
  </si>
  <si>
    <t>apoyos</t>
  </si>
  <si>
    <t>No. DE PILASTRAS</t>
  </si>
  <si>
    <t>Espesor base asfaltica</t>
  </si>
  <si>
    <t>Base asfaltica</t>
  </si>
  <si>
    <t>PESO DE PLACA (KG/PLACA)</t>
  </si>
  <si>
    <t>PESO DE TUERCAS Y RONDANAS (KG/DIAFRAGMA)</t>
  </si>
  <si>
    <t>piezas</t>
  </si>
  <si>
    <t>A2</t>
  </si>
  <si>
    <t>A1</t>
  </si>
  <si>
    <t>Tubo de acero galvanizado 5.1 Ø (2") ced.40</t>
  </si>
  <si>
    <t>Tubo de acero galvanizado 3.8 Ø (1 1/2") ced.40</t>
  </si>
  <si>
    <t>Concreto de f'c=250 Kg/cm2</t>
  </si>
  <si>
    <t>Acero de refuerzo de L.E. 4200 Kg/cm2</t>
  </si>
  <si>
    <t>SUPERESTRUCTURA, (LOSAS DE ACCESO)</t>
  </si>
  <si>
    <t>C1</t>
  </si>
  <si>
    <t>F</t>
  </si>
  <si>
    <t>B1</t>
  </si>
  <si>
    <t>M</t>
  </si>
  <si>
    <t>Neopreno.4x.4</t>
  </si>
  <si>
    <t>Ductos de plástico de 2.5 ∅ x 3.00m.</t>
  </si>
  <si>
    <t>GUARNICION TIPO IV</t>
  </si>
  <si>
    <t>Concreto de f'c=150 Kg/cm2.</t>
  </si>
  <si>
    <t>Tubo de cartón comprimido 21.0 Ø</t>
  </si>
  <si>
    <t>B2</t>
  </si>
  <si>
    <t>i1</t>
  </si>
  <si>
    <t>L1</t>
  </si>
  <si>
    <t>K1</t>
  </si>
  <si>
    <t>Ga1</t>
  </si>
  <si>
    <t>Gb1</t>
  </si>
  <si>
    <t>Gc1</t>
  </si>
  <si>
    <t>J2</t>
  </si>
  <si>
    <t>M1</t>
  </si>
  <si>
    <t>Numero de trabes=</t>
  </si>
  <si>
    <t>m</t>
  </si>
  <si>
    <t>Cartón asfaltado</t>
  </si>
  <si>
    <t>CARTON ASFALTADO</t>
  </si>
  <si>
    <t>MURO DE RESPALDO</t>
  </si>
  <si>
    <t>H</t>
  </si>
  <si>
    <t>TOTAL</t>
  </si>
  <si>
    <t>12C</t>
  </si>
  <si>
    <t>PILAS (2 PIEZAS POR CUERPO)</t>
  </si>
  <si>
    <t>tope 1</t>
  </si>
  <si>
    <t>tope 3</t>
  </si>
  <si>
    <t>10C</t>
  </si>
  <si>
    <t>LISTA DE VARILLAS PILA 04</t>
  </si>
  <si>
    <t>LISTA DE VARILLAS PILA 02</t>
  </si>
  <si>
    <t>LOSA DE ACCESO EJE 1</t>
  </si>
  <si>
    <t>LISTA DE VARILLAS TRABE AASHTO TIPO VI CLARO 3-4</t>
  </si>
  <si>
    <t>LISTA DE VARILLAS TRABE AASHTO TIPO VI CLARO 2-3</t>
  </si>
  <si>
    <t>LISTA DE VARILLAS TRABE AASHTO TIPO VI CLARO 1-2</t>
  </si>
  <si>
    <t>LISTA DE VARILLAS TRABE AASHTO TIPO VI CLARO 4-5</t>
  </si>
  <si>
    <t>Concreto de f'c=300 kg/cm2</t>
  </si>
  <si>
    <t>Concreto f'c = 300 kg/cm2</t>
  </si>
  <si>
    <t>SUPERESTRUCTURA, TRABES AASHTO VI (30 PIEZAS; Cl=30.0 m)</t>
  </si>
  <si>
    <t>SUPERESTRUCTURA, TRABES AASHTO VI (10 PIEZAS; Cl=40.0 m)</t>
  </si>
  <si>
    <t xml:space="preserve">Concreto de f'c=400 Kg/cm2 </t>
  </si>
  <si>
    <t>CABALLETES N°1 y 5</t>
  </si>
  <si>
    <t>PILAS N°2, 3 y 4</t>
  </si>
  <si>
    <t>Concreto de f'c=250 Kg/cm2 (Cabezal,bancos y topes);pila 4</t>
  </si>
  <si>
    <t>Concreto de f'c=300 Kg/cm2 (Cabezal,bancos y topes); 2 y 3</t>
  </si>
  <si>
    <t>L PILA</t>
  </si>
  <si>
    <t>Perforacion  (pilas)</t>
  </si>
  <si>
    <t xml:space="preserve"> CABEZAL PILA</t>
  </si>
  <si>
    <t>L COL</t>
  </si>
  <si>
    <t>radio cm</t>
  </si>
  <si>
    <t>desarrollo de arco</t>
  </si>
  <si>
    <t>bancos 0.82x0.7</t>
  </si>
  <si>
    <t>Neopreno.4x.5</t>
  </si>
  <si>
    <t xml:space="preserve">1 pza </t>
  </si>
  <si>
    <t>unidad</t>
  </si>
  <si>
    <t>ori. de alero</t>
  </si>
  <si>
    <t>volumen  1 pila (m3)</t>
  </si>
  <si>
    <t>volumen de concreto (m3)</t>
  </si>
  <si>
    <t>1 pza</t>
  </si>
  <si>
    <t>PILAS (6 PIEZAS)</t>
  </si>
  <si>
    <t>cabezal izq</t>
  </si>
  <si>
    <t>cabezal der</t>
  </si>
  <si>
    <t>m. respaldo izq</t>
  </si>
  <si>
    <t>mensula izq</t>
  </si>
  <si>
    <t>topes 1 izq</t>
  </si>
  <si>
    <t>tope 2 izq</t>
  </si>
  <si>
    <t>m. respaldo der</t>
  </si>
  <si>
    <t>mensula der.</t>
  </si>
  <si>
    <t>topes 1 der</t>
  </si>
  <si>
    <t>tope 2 der</t>
  </si>
  <si>
    <t>topes</t>
  </si>
  <si>
    <t>tope 4</t>
  </si>
  <si>
    <t>CUERPO IZQUIERDO</t>
  </si>
  <si>
    <t>CUERPO DERECHO</t>
  </si>
  <si>
    <t>bancos 0.7x0.79 (10 APOYOS)</t>
  </si>
  <si>
    <t>bancos 0.7x0.83 (10 APOYOS)</t>
  </si>
  <si>
    <t>Neopreno.40x.50</t>
  </si>
  <si>
    <t>DM3</t>
  </si>
  <si>
    <t>bancos 0.7x0.78 (10 APOYOS)</t>
  </si>
  <si>
    <t>LISTA DE VARILLAS CABALLETE 01</t>
  </si>
  <si>
    <t>E3</t>
  </si>
  <si>
    <t>E4</t>
  </si>
  <si>
    <t>desa. de arco</t>
  </si>
  <si>
    <t>2 juegos con 3 paquetes c/u, de cable tipo cascabel</t>
  </si>
  <si>
    <t>CPO I</t>
  </si>
  <si>
    <t>CPO D</t>
  </si>
  <si>
    <t>Ductos de plastico de 2.5Ø x2.05</t>
  </si>
  <si>
    <t>D2</t>
  </si>
  <si>
    <t>D3</t>
  </si>
  <si>
    <t>D4</t>
  </si>
  <si>
    <t>AREA</t>
  </si>
  <si>
    <t>Ductos de plastico de 2.5Ø x1.85</t>
  </si>
  <si>
    <t>Ductos de plastico de 2.5Ø x2.10</t>
  </si>
  <si>
    <t>Ductos de plastico de 2.5Ø x1.90</t>
  </si>
  <si>
    <t>LISTA DE VARILLAS EN LOSA DE RODAMIENTO EJES 1-2</t>
  </si>
  <si>
    <t>LISTA DE VARILLAS EN LOSA DE RODAMIENTO  EJES 2-3</t>
  </si>
  <si>
    <t>LISTA DE VARILLAS EN LOSA DE RODAMIENTO EJES 3-4</t>
  </si>
  <si>
    <t>LISTA DE VARILLAS EN LOSA DE RODAMIENTOEJES 4-5</t>
  </si>
  <si>
    <t>COL 1</t>
  </si>
  <si>
    <t>COL 2</t>
  </si>
  <si>
    <t>COL 3</t>
  </si>
  <si>
    <t>COL 4</t>
  </si>
  <si>
    <t>COL 5</t>
  </si>
  <si>
    <t>COL 6</t>
  </si>
  <si>
    <t>PILA 1</t>
  </si>
  <si>
    <t>PILA 2</t>
  </si>
  <si>
    <t>PILA 3</t>
  </si>
  <si>
    <t>PILA 4</t>
  </si>
  <si>
    <t>PILA 5</t>
  </si>
  <si>
    <t>PILA 6</t>
  </si>
  <si>
    <t>VOLUMEN COLUMNA</t>
  </si>
  <si>
    <t>VOLUMEN PILA</t>
  </si>
  <si>
    <t>I1</t>
  </si>
  <si>
    <t>I2</t>
  </si>
  <si>
    <t>I3</t>
  </si>
  <si>
    <t>J3</t>
  </si>
  <si>
    <t>K2</t>
  </si>
  <si>
    <t>L2</t>
  </si>
  <si>
    <t>M2</t>
  </si>
  <si>
    <t>ZAPATA</t>
  </si>
  <si>
    <t>col.</t>
  </si>
  <si>
    <t>PERF</t>
  </si>
  <si>
    <t>CONC.</t>
  </si>
  <si>
    <t>L PILA 150</t>
  </si>
  <si>
    <t>L PILA 200</t>
  </si>
  <si>
    <t>L. COL. 150</t>
  </si>
  <si>
    <t>L col rec</t>
  </si>
  <si>
    <t>z1</t>
  </si>
  <si>
    <t>LISTA DE VARILLAS PILA 03</t>
  </si>
  <si>
    <t xml:space="preserve">LISTA DE VARILLAS CABALLETE 05  </t>
  </si>
  <si>
    <t>DADO</t>
  </si>
  <si>
    <t>PILAS, COLUMNAS Y PILOTES</t>
  </si>
  <si>
    <t>pilote Ø200</t>
  </si>
  <si>
    <t>Columna 1.50x2.00</t>
  </si>
  <si>
    <t>bancos 0.79x0.7</t>
  </si>
  <si>
    <t>col. Ø200</t>
  </si>
  <si>
    <t>col. 150x200</t>
  </si>
  <si>
    <t>C2</t>
  </si>
  <si>
    <t>cabezal izq 1</t>
  </si>
  <si>
    <t>K3</t>
  </si>
  <si>
    <t>pila Ø20</t>
  </si>
  <si>
    <t>I</t>
  </si>
  <si>
    <t>E5</t>
  </si>
  <si>
    <t>4 pzas</t>
  </si>
  <si>
    <t>GUARNICION</t>
  </si>
  <si>
    <t>REMATE</t>
  </si>
  <si>
    <t>PESO TOTAL (acero kg)</t>
  </si>
  <si>
    <t>CONCRETO f'c=250 (m3)</t>
  </si>
  <si>
    <t>CONCRETO f'c=150 (m3)</t>
  </si>
  <si>
    <t>7.6Ø (3") kg</t>
  </si>
  <si>
    <t>5.1Ø (2") kg</t>
  </si>
  <si>
    <t>6.4Ø (2 1/2") kg</t>
  </si>
  <si>
    <t>3.8Ø (1 1/2") kg</t>
  </si>
  <si>
    <t>ACERO/PILASTRA A-36 (kg)</t>
  </si>
  <si>
    <t>TUERCAS/PILASTRA (pza.)</t>
  </si>
  <si>
    <t>T 34.3.1 - 1</t>
  </si>
  <si>
    <t>GUARNICION TIPO II</t>
  </si>
  <si>
    <t>GUARNICION SOBRE LOSA</t>
  </si>
  <si>
    <t>T 34.3.1 - 2</t>
  </si>
  <si>
    <t>GUARNICION TIPO II A</t>
  </si>
  <si>
    <t>GUARNICION SOBRE CABALLETE</t>
  </si>
  <si>
    <t>T 34.4.1 - 1</t>
  </si>
  <si>
    <t>BANQUETA SOBRE LOSA</t>
  </si>
  <si>
    <t>T 34.4.1 - 2</t>
  </si>
  <si>
    <t>GUARNICION TIPO IV-A</t>
  </si>
  <si>
    <t>BANQUETA SOBRE ALERO</t>
  </si>
  <si>
    <t>T 34.4.1 - 3</t>
  </si>
  <si>
    <t>GUARNICION TIPO V</t>
  </si>
  <si>
    <t>BANQUETA SOBRE TERRAPLEN</t>
  </si>
  <si>
    <t>T 34.6.1 - 1</t>
  </si>
  <si>
    <t>GUARNICION TIPO III</t>
  </si>
  <si>
    <t>T 34.6.1 - 2</t>
  </si>
  <si>
    <t>GUARNICION TIPO III-A</t>
  </si>
  <si>
    <t>GUARNICION SOBRE ALERO</t>
  </si>
  <si>
    <t xml:space="preserve">ACERO EN REMATE  POR PIEZA </t>
  </si>
  <si>
    <t>CONCRETO EN REMATE POR PIEZA</t>
  </si>
  <si>
    <t>ACERO POR PILASTRA PARAPETO</t>
  </si>
  <si>
    <t>M3 CONC. f'c=250</t>
  </si>
  <si>
    <t>M3 CONC. f'c=150</t>
  </si>
  <si>
    <t>BANQ. T-IV</t>
  </si>
  <si>
    <t>LONG. DE BANQ.</t>
  </si>
  <si>
    <t>f'c= 150</t>
  </si>
  <si>
    <t>TUBO DE CARTON 21.0 Ø</t>
  </si>
  <si>
    <t>BANQ. T-IV-A</t>
  </si>
  <si>
    <t>RELLENO COMPACTADO</t>
  </si>
  <si>
    <t>BANQ. T-V</t>
  </si>
  <si>
    <t>ANCHO BANQ</t>
  </si>
  <si>
    <t>G1</t>
  </si>
  <si>
    <t xml:space="preserve"> bancos y topes</t>
  </si>
  <si>
    <t>col. Ø201</t>
  </si>
  <si>
    <t>columna 2.00</t>
  </si>
  <si>
    <t>Pila</t>
  </si>
  <si>
    <t>bancos y topes</t>
  </si>
  <si>
    <t>PILA</t>
  </si>
  <si>
    <t>PILAS</t>
  </si>
  <si>
    <t>TOPES SISIMICOS</t>
  </si>
  <si>
    <t xml:space="preserve">PILA </t>
  </si>
  <si>
    <t>LONGITUD DE PUENTE (LONGITUD GUARNICION)</t>
  </si>
  <si>
    <t>Concreto de f'c=250 Kg/cm2 pila</t>
  </si>
  <si>
    <t>Acero de refuerzo de L.E. 4200 Kg/cm2 pila</t>
  </si>
  <si>
    <t>pilas 1.50x2.00</t>
  </si>
  <si>
    <t>Acero de refuerzo de L.E. 4200 Kg/cm2 (Pila)</t>
  </si>
  <si>
    <t>Concreto de f'c=300 Kg/cm2 (Pilas); eje 2 y 3</t>
  </si>
  <si>
    <t>Concreto de f'c=250 Kg/cm2 (Pilas); eje 1,4 y 5</t>
  </si>
  <si>
    <t>Perforacion (pila  Ø=1.5 m);ejes 1,4 y 5</t>
  </si>
  <si>
    <t>Perforacion (pila Ø=2.0 m); ejes 2 y 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</si>
</sst>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00"/>
    <numFmt numFmtId="165" formatCode="0.0"/>
    <numFmt numFmtId="166" formatCode="#,##0.0"/>
    <numFmt numFmtId="167" formatCode="0.0000000"/>
    <numFmt numFmtId="168" formatCode="0\+000.000"/>
    <numFmt numFmtId="169" formatCode="0.0000"/>
    <numFmt numFmtId="170" formatCode="0.00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sz val="10"/>
      <color theme="1"/>
      <name val="Calibri"/>
      <family val="2"/>
      <scheme val="minor"/>
    </font>
    <font>
      <b/>
      <sz val="10"/>
      <color theme="1"/>
      <name val="Calibri"/>
      <family val="2"/>
      <scheme val="minor"/>
    </font>
    <font>
      <u/>
      <sz val="11"/>
      <color theme="1"/>
      <name val="Calibri"/>
      <family val="2"/>
      <scheme val="minor"/>
    </font>
    <font>
      <b/>
      <u/>
      <sz val="11"/>
      <color theme="1"/>
      <name val="Calibri"/>
      <family val="2"/>
      <scheme val="minor"/>
    </font>
    <font>
      <sz val="11"/>
      <name val="Calibri"/>
      <family val="2"/>
      <scheme val="minor"/>
    </font>
    <font>
      <b/>
      <sz val="11"/>
      <color rgb="FFFF0000"/>
      <name val="Calibri"/>
      <family val="2"/>
      <scheme val="minor"/>
    </font>
    <font>
      <sz val="9"/>
      <color theme="1"/>
      <name val="Calibri"/>
      <family val="2"/>
      <scheme val="minor"/>
    </font>
    <font>
      <sz val="14"/>
      <color theme="1"/>
      <name val="Calibri"/>
      <family val="2"/>
      <scheme val="minor"/>
    </font>
    <font>
      <sz val="10"/>
      <name val="Calibri"/>
      <family val="2"/>
      <scheme val="minor"/>
    </font>
    <font>
      <b/>
      <sz val="11"/>
      <color rgb="FFFF0000"/>
      <name val="Arial"/>
      <family val="2"/>
    </font>
    <font>
      <b/>
      <sz val="11"/>
      <color rgb="FF00B050"/>
      <name val="Arial"/>
      <family val="2"/>
    </font>
    <font>
      <b/>
      <sz val="11"/>
      <name val="Calibri"/>
      <family val="2"/>
      <scheme val="minor"/>
    </font>
    <font>
      <sz val="11"/>
      <color rgb="FFFF0000"/>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00B05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5"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262">
    <xf numFmtId="0" fontId="0" fillId="0" borderId="0" xfId="0"/>
    <xf numFmtId="0" fontId="0" fillId="0" borderId="1" xfId="0" applyBorder="1"/>
    <xf numFmtId="0" fontId="0" fillId="0" borderId="0" xfId="0" applyBorder="1"/>
    <xf numFmtId="0" fontId="0" fillId="0" borderId="0" xfId="0"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1" xfId="0" applyFill="1" applyBorder="1"/>
    <xf numFmtId="0" fontId="0" fillId="0" borderId="1" xfId="0" applyBorder="1" applyAlignment="1">
      <alignment horizontal="center" vertical="center"/>
    </xf>
    <xf numFmtId="0" fontId="0" fillId="0" borderId="4" xfId="0" applyFill="1" applyBorder="1"/>
    <xf numFmtId="0" fontId="0" fillId="0" borderId="0" xfId="0" applyFill="1" applyBorder="1" applyAlignment="1">
      <alignment horizontal="center" vertical="center"/>
    </xf>
    <xf numFmtId="0" fontId="0" fillId="0" borderId="3" xfId="0" applyFill="1" applyBorder="1"/>
    <xf numFmtId="0" fontId="0" fillId="0" borderId="5" xfId="0" applyFill="1" applyBorder="1"/>
    <xf numFmtId="0" fontId="0" fillId="0" borderId="2" xfId="0" applyFill="1" applyBorder="1"/>
    <xf numFmtId="0" fontId="0" fillId="0" borderId="6" xfId="0" applyFill="1" applyBorder="1"/>
    <xf numFmtId="0" fontId="0" fillId="0" borderId="7" xfId="0" applyFill="1" applyBorder="1"/>
    <xf numFmtId="0" fontId="0" fillId="0" borderId="0" xfId="0" applyFill="1"/>
    <xf numFmtId="0" fontId="0" fillId="0" borderId="8" xfId="0" applyFill="1" applyBorder="1"/>
    <xf numFmtId="0" fontId="0" fillId="0" borderId="9" xfId="0" applyFill="1" applyBorder="1" applyAlignment="1">
      <alignment horizontal="center" vertical="center" textRotation="89"/>
    </xf>
    <xf numFmtId="0" fontId="0" fillId="0" borderId="0" xfId="0" applyAlignment="1">
      <alignment horizontal="center" vertical="center"/>
    </xf>
    <xf numFmtId="49" fontId="0" fillId="0" borderId="0" xfId="0" applyNumberFormat="1" applyBorder="1" applyAlignment="1">
      <alignment horizontal="center" vertical="center"/>
    </xf>
    <xf numFmtId="0" fontId="0" fillId="0" borderId="1" xfId="0" applyFill="1" applyBorder="1" applyAlignment="1">
      <alignment horizontal="center" vertical="center"/>
    </xf>
    <xf numFmtId="1" fontId="0" fillId="0" borderId="0" xfId="0" applyNumberFormat="1"/>
    <xf numFmtId="1" fontId="0" fillId="0" borderId="7" xfId="0" applyNumberFormat="1" applyFill="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43" fontId="5" fillId="0" borderId="0" xfId="1" applyFont="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65" fontId="5" fillId="0" borderId="0" xfId="1" applyNumberFormat="1" applyFont="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165" fontId="5" fillId="0" borderId="0" xfId="1" applyNumberFormat="1" applyFont="1" applyBorder="1" applyAlignment="1">
      <alignment horizontal="center" vertical="center" wrapText="1"/>
    </xf>
    <xf numFmtId="0" fontId="4" fillId="0" borderId="0" xfId="0" applyFont="1" applyFill="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vertical="center" wrapText="1"/>
    </xf>
    <xf numFmtId="0" fontId="5" fillId="2" borderId="1" xfId="0" applyFont="1" applyFill="1" applyBorder="1" applyAlignment="1">
      <alignment vertical="center" wrapText="1"/>
    </xf>
    <xf numFmtId="0" fontId="4" fillId="0" borderId="0" xfId="0" applyFont="1" applyBorder="1" applyAlignment="1">
      <alignment vertical="center" wrapText="1"/>
    </xf>
    <xf numFmtId="165" fontId="5" fillId="0" borderId="0" xfId="1" applyNumberFormat="1" applyFont="1" applyAlignment="1">
      <alignment horizontal="center" wrapText="1"/>
    </xf>
    <xf numFmtId="0" fontId="0" fillId="0" borderId="15" xfId="0" applyBorder="1"/>
    <xf numFmtId="0" fontId="0" fillId="0" borderId="15" xfId="0" applyBorder="1" applyAlignment="1">
      <alignment vertical="center" textRotation="89"/>
    </xf>
    <xf numFmtId="0" fontId="0" fillId="0" borderId="15" xfId="0" applyBorder="1" applyAlignment="1"/>
    <xf numFmtId="4" fontId="0" fillId="0" borderId="16" xfId="0" applyNumberFormat="1" applyBorder="1" applyAlignment="1">
      <alignment horizontal="center" vertical="center"/>
    </xf>
    <xf numFmtId="0" fontId="0" fillId="0" borderId="17" xfId="0" applyBorder="1"/>
    <xf numFmtId="0" fontId="0" fillId="0" borderId="13" xfId="0" applyFill="1" applyBorder="1" applyAlignment="1">
      <alignment vertical="center"/>
    </xf>
    <xf numFmtId="0" fontId="0" fillId="0" borderId="18" xfId="0" applyFill="1" applyBorder="1" applyAlignment="1">
      <alignment vertical="center"/>
    </xf>
    <xf numFmtId="0" fontId="0" fillId="0" borderId="14" xfId="0" applyFill="1" applyBorder="1" applyAlignment="1">
      <alignment vertical="center"/>
    </xf>
    <xf numFmtId="0" fontId="0" fillId="0" borderId="19" xfId="0" applyFill="1" applyBorder="1" applyAlignment="1">
      <alignment vertical="center"/>
    </xf>
    <xf numFmtId="0" fontId="0" fillId="0" borderId="20" xfId="0" applyFill="1" applyBorder="1" applyAlignment="1">
      <alignment vertical="center"/>
    </xf>
    <xf numFmtId="0" fontId="0" fillId="0" borderId="21" xfId="0" applyFill="1" applyBorder="1" applyAlignment="1">
      <alignment vertical="center"/>
    </xf>
    <xf numFmtId="0" fontId="6" fillId="0" borderId="1" xfId="0" applyFont="1" applyBorder="1" applyAlignment="1">
      <alignment horizontal="center"/>
    </xf>
    <xf numFmtId="165" fontId="5" fillId="0" borderId="1" xfId="1" applyNumberFormat="1" applyFont="1" applyBorder="1" applyAlignment="1">
      <alignment horizontal="right" vertical="center" wrapText="1"/>
    </xf>
    <xf numFmtId="165" fontId="5" fillId="0" borderId="19" xfId="1" applyNumberFormat="1" applyFont="1" applyBorder="1" applyAlignment="1">
      <alignment horizontal="right" vertical="center" wrapText="1"/>
    </xf>
    <xf numFmtId="166" fontId="5" fillId="0" borderId="1" xfId="1" applyNumberFormat="1" applyFont="1" applyBorder="1" applyAlignment="1">
      <alignment horizontal="right" vertical="center" wrapText="1"/>
    </xf>
    <xf numFmtId="166" fontId="5" fillId="0" borderId="1" xfId="1" applyNumberFormat="1" applyFont="1" applyFill="1" applyBorder="1" applyAlignment="1">
      <alignment horizontal="right" vertical="center" wrapText="1"/>
    </xf>
    <xf numFmtId="166" fontId="5" fillId="0" borderId="21" xfId="1" applyNumberFormat="1" applyFont="1" applyBorder="1" applyAlignment="1">
      <alignment horizontal="right" vertical="center" wrapText="1"/>
    </xf>
    <xf numFmtId="166" fontId="5" fillId="0" borderId="12" xfId="1" applyNumberFormat="1" applyFont="1" applyBorder="1" applyAlignment="1">
      <alignment horizontal="right" vertical="center" wrapText="1"/>
    </xf>
    <xf numFmtId="166" fontId="5" fillId="0" borderId="10" xfId="1" applyNumberFormat="1" applyFont="1" applyBorder="1" applyAlignment="1">
      <alignment horizontal="right" vertical="center" wrapText="1"/>
    </xf>
    <xf numFmtId="166" fontId="5" fillId="0" borderId="11" xfId="1" applyNumberFormat="1" applyFont="1" applyBorder="1" applyAlignment="1">
      <alignment horizontal="right" vertical="center" wrapText="1"/>
    </xf>
    <xf numFmtId="0" fontId="0" fillId="0" borderId="4" xfId="0" applyBorder="1" applyAlignment="1"/>
    <xf numFmtId="4" fontId="0" fillId="0" borderId="0" xfId="0" applyNumberFormat="1"/>
    <xf numFmtId="0" fontId="0" fillId="3" borderId="1" xfId="0" applyFill="1" applyBorder="1"/>
    <xf numFmtId="165" fontId="0" fillId="3" borderId="1" xfId="0" applyNumberFormat="1" applyFill="1" applyBorder="1"/>
    <xf numFmtId="167" fontId="0" fillId="0" borderId="1" xfId="0" applyNumberFormat="1" applyBorder="1"/>
    <xf numFmtId="1" fontId="0" fillId="0" borderId="1" xfId="0" applyNumberFormat="1" applyBorder="1"/>
    <xf numFmtId="2" fontId="0" fillId="0" borderId="1" xfId="0" applyNumberFormat="1" applyBorder="1"/>
    <xf numFmtId="164" fontId="0" fillId="0" borderId="1" xfId="0" applyNumberFormat="1" applyBorder="1"/>
    <xf numFmtId="0" fontId="0" fillId="0" borderId="0" xfId="0" applyFill="1" applyBorder="1"/>
    <xf numFmtId="0" fontId="0" fillId="0" borderId="1" xfId="0" applyBorder="1" applyAlignment="1"/>
    <xf numFmtId="0" fontId="0" fillId="4" borderId="1" xfId="0" applyFill="1" applyBorder="1"/>
    <xf numFmtId="0" fontId="0" fillId="5" borderId="1" xfId="0" applyFill="1" applyBorder="1"/>
    <xf numFmtId="0" fontId="0" fillId="0" borderId="10" xfId="0" applyBorder="1"/>
    <xf numFmtId="2" fontId="0" fillId="3" borderId="1" xfId="0" applyNumberFormat="1" applyFill="1" applyBorder="1"/>
    <xf numFmtId="0" fontId="0" fillId="0" borderId="0" xfId="0" applyAlignment="1">
      <alignment wrapText="1"/>
    </xf>
    <xf numFmtId="168" fontId="0" fillId="0" borderId="1" xfId="0" applyNumberFormat="1" applyBorder="1"/>
    <xf numFmtId="0" fontId="4" fillId="0" borderId="0" xfId="0" applyFont="1"/>
    <xf numFmtId="0" fontId="5" fillId="0" borderId="0" xfId="0" applyFont="1"/>
    <xf numFmtId="43" fontId="5" fillId="0" borderId="0" xfId="1" applyFont="1"/>
    <xf numFmtId="0" fontId="5" fillId="0" borderId="1" xfId="0" applyFont="1" applyBorder="1"/>
    <xf numFmtId="43" fontId="5" fillId="0" borderId="1" xfId="1" applyFont="1" applyBorder="1"/>
    <xf numFmtId="0" fontId="0" fillId="6" borderId="1" xfId="0" applyFill="1" applyBorder="1"/>
    <xf numFmtId="0" fontId="3" fillId="0" borderId="0" xfId="0" applyFont="1"/>
    <xf numFmtId="0" fontId="0" fillId="0" borderId="6" xfId="0" applyBorder="1"/>
    <xf numFmtId="168" fontId="0" fillId="0" borderId="1" xfId="0" applyNumberFormat="1" applyFill="1" applyBorder="1"/>
    <xf numFmtId="0" fontId="0" fillId="0" borderId="1" xfId="0" applyBorder="1" applyAlignment="1">
      <alignment wrapText="1"/>
    </xf>
    <xf numFmtId="0" fontId="0" fillId="0" borderId="1" xfId="0" applyBorder="1" applyAlignment="1">
      <alignment horizontal="center" vertical="center" wrapText="1"/>
    </xf>
    <xf numFmtId="164" fontId="0" fillId="7" borderId="1" xfId="0" applyNumberFormat="1" applyFill="1" applyBorder="1"/>
    <xf numFmtId="43" fontId="5" fillId="4" borderId="1" xfId="1" applyFont="1" applyFill="1" applyBorder="1"/>
    <xf numFmtId="0" fontId="0" fillId="0" borderId="0" xfId="0" applyFill="1" applyBorder="1" applyAlignment="1">
      <alignment horizontal="center" vertical="center" wrapText="1"/>
    </xf>
    <xf numFmtId="3" fontId="0" fillId="0" borderId="0" xfId="0" applyNumberFormat="1"/>
    <xf numFmtId="0" fontId="0" fillId="0" borderId="1" xfId="0" applyBorder="1" applyAlignment="1">
      <alignment horizontal="left"/>
    </xf>
    <xf numFmtId="0" fontId="2" fillId="0" borderId="1" xfId="0" applyFont="1" applyBorder="1"/>
    <xf numFmtId="1" fontId="0" fillId="0" borderId="20" xfId="0" applyNumberFormat="1" applyFill="1" applyBorder="1" applyAlignment="1">
      <alignment vertical="center"/>
    </xf>
    <xf numFmtId="4" fontId="0" fillId="0" borderId="22" xfId="0" applyNumberFormat="1" applyFill="1" applyBorder="1" applyAlignment="1">
      <alignment horizontal="center" vertical="center"/>
    </xf>
    <xf numFmtId="3" fontId="0" fillId="0" borderId="23" xfId="0" applyNumberFormat="1" applyFill="1" applyBorder="1" applyAlignment="1">
      <alignment horizontal="center" vertical="center"/>
    </xf>
    <xf numFmtId="4" fontId="0" fillId="0" borderId="7" xfId="0" applyNumberFormat="1" applyFill="1" applyBorder="1" applyAlignment="1">
      <alignment horizontal="center" vertical="center"/>
    </xf>
    <xf numFmtId="3" fontId="0" fillId="0" borderId="24" xfId="0" applyNumberFormat="1" applyFill="1" applyBorder="1" applyAlignment="1">
      <alignment horizontal="center" vertical="center"/>
    </xf>
    <xf numFmtId="4" fontId="0" fillId="0" borderId="16" xfId="0" applyNumberFormat="1" applyFill="1" applyBorder="1" applyAlignment="1">
      <alignment horizontal="center" vertical="center"/>
    </xf>
    <xf numFmtId="4" fontId="0" fillId="0" borderId="25" xfId="0" applyNumberFormat="1" applyFill="1" applyBorder="1" applyAlignment="1">
      <alignment horizontal="center" vertical="center"/>
    </xf>
    <xf numFmtId="3" fontId="0" fillId="0" borderId="26" xfId="0" applyNumberFormat="1" applyFill="1" applyBorder="1" applyAlignment="1">
      <alignment horizontal="center" vertical="center"/>
    </xf>
    <xf numFmtId="4" fontId="0" fillId="0" borderId="27" xfId="0" applyNumberFormat="1" applyFill="1" applyBorder="1" applyAlignment="1">
      <alignment horizontal="center" vertical="center"/>
    </xf>
    <xf numFmtId="4" fontId="0" fillId="0" borderId="26" xfId="0" applyNumberFormat="1" applyFill="1" applyBorder="1" applyAlignment="1">
      <alignment horizontal="center" vertical="center"/>
    </xf>
    <xf numFmtId="3" fontId="0" fillId="0" borderId="7" xfId="0" applyNumberFormat="1" applyFill="1" applyBorder="1" applyAlignment="1">
      <alignment horizontal="center" vertical="center"/>
    </xf>
    <xf numFmtId="1" fontId="0" fillId="0" borderId="1" xfId="0" applyNumberFormat="1" applyFill="1" applyBorder="1" applyAlignment="1">
      <alignment vertical="center"/>
    </xf>
    <xf numFmtId="1" fontId="0" fillId="0" borderId="19" xfId="0" applyNumberFormat="1" applyFill="1" applyBorder="1" applyAlignment="1">
      <alignment vertical="center"/>
    </xf>
    <xf numFmtId="1" fontId="0" fillId="0" borderId="14" xfId="0" applyNumberFormat="1" applyFill="1" applyBorder="1" applyAlignment="1">
      <alignment vertical="center"/>
    </xf>
    <xf numFmtId="1" fontId="0" fillId="0" borderId="18" xfId="0" applyNumberFormat="1" applyFill="1" applyBorder="1" applyAlignment="1">
      <alignment vertical="center"/>
    </xf>
    <xf numFmtId="4" fontId="0" fillId="0" borderId="28" xfId="0" applyNumberFormat="1" applyFill="1" applyBorder="1" applyAlignment="1">
      <alignment horizontal="center" vertical="center"/>
    </xf>
    <xf numFmtId="3" fontId="0" fillId="0" borderId="29" xfId="0" applyNumberFormat="1" applyFill="1" applyBorder="1" applyAlignment="1">
      <alignment horizontal="center" vertical="center"/>
    </xf>
    <xf numFmtId="0" fontId="0" fillId="0" borderId="6" xfId="0" applyBorder="1" applyAlignment="1"/>
    <xf numFmtId="0" fontId="0" fillId="6" borderId="6" xfId="0" applyFill="1" applyBorder="1" applyAlignment="1"/>
    <xf numFmtId="0" fontId="0" fillId="8" borderId="1" xfId="0" applyFill="1" applyBorder="1"/>
    <xf numFmtId="168" fontId="0" fillId="0" borderId="10" xfId="0" applyNumberFormat="1" applyBorder="1"/>
    <xf numFmtId="0" fontId="0" fillId="0" borderId="0" xfId="0" applyAlignment="1">
      <alignment vertical="center" wrapText="1"/>
    </xf>
    <xf numFmtId="0" fontId="0" fillId="9" borderId="1" xfId="0" applyFill="1" applyBorder="1" applyAlignment="1">
      <alignment horizontal="center" vertical="center" wrapText="1"/>
    </xf>
    <xf numFmtId="0" fontId="5" fillId="0" borderId="1" xfId="0" applyFont="1" applyFill="1" applyBorder="1"/>
    <xf numFmtId="0" fontId="0" fillId="0" borderId="10" xfId="0" applyBorder="1" applyAlignment="1">
      <alignment vertical="center" wrapText="1"/>
    </xf>
    <xf numFmtId="0" fontId="0" fillId="0" borderId="12" xfId="0" applyBorder="1" applyAlignment="1">
      <alignment vertical="center" wrapText="1"/>
    </xf>
    <xf numFmtId="0" fontId="0" fillId="0" borderId="12" xfId="0" applyFill="1" applyBorder="1" applyAlignment="1">
      <alignment vertical="center" wrapText="1"/>
    </xf>
    <xf numFmtId="0" fontId="0" fillId="0" borderId="11" xfId="0" applyFill="1" applyBorder="1" applyAlignment="1">
      <alignmen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right" vertical="center"/>
    </xf>
    <xf numFmtId="0" fontId="0" fillId="0" borderId="31" xfId="0" applyBorder="1" applyAlignment="1">
      <alignment horizontal="right" vertical="center"/>
    </xf>
    <xf numFmtId="4" fontId="0" fillId="0" borderId="7" xfId="0" applyNumberFormat="1" applyBorder="1"/>
    <xf numFmtId="0" fontId="0" fillId="0" borderId="8" xfId="0" applyBorder="1"/>
    <xf numFmtId="4" fontId="0" fillId="0" borderId="16" xfId="0" applyNumberFormat="1" applyBorder="1"/>
    <xf numFmtId="0" fontId="0" fillId="0" borderId="33" xfId="0" applyBorder="1"/>
    <xf numFmtId="4" fontId="0" fillId="0" borderId="34" xfId="0" applyNumberFormat="1" applyBorder="1" applyAlignment="1">
      <alignment horizontal="center" vertical="center"/>
    </xf>
    <xf numFmtId="0" fontId="0" fillId="0" borderId="35" xfId="0" applyBorder="1" applyAlignment="1">
      <alignment horizontal="right" vertical="center"/>
    </xf>
    <xf numFmtId="4" fontId="0" fillId="0" borderId="36" xfId="0" applyNumberFormat="1" applyFill="1" applyBorder="1" applyAlignment="1">
      <alignment horizontal="center" vertical="center"/>
    </xf>
    <xf numFmtId="0" fontId="0" fillId="0" borderId="0" xfId="0" applyBorder="1" applyAlignment="1"/>
    <xf numFmtId="0" fontId="6" fillId="0" borderId="37" xfId="0" applyFont="1" applyBorder="1" applyAlignment="1">
      <alignment horizontal="center"/>
    </xf>
    <xf numFmtId="0" fontId="6" fillId="0" borderId="33" xfId="0" applyFont="1" applyBorder="1" applyAlignment="1">
      <alignment horizontal="center"/>
    </xf>
    <xf numFmtId="4" fontId="0" fillId="0" borderId="27" xfId="0" applyNumberFormat="1" applyBorder="1"/>
    <xf numFmtId="0" fontId="0" fillId="0" borderId="1" xfId="0" applyNumberFormat="1" applyFill="1" applyBorder="1" applyAlignment="1">
      <alignment horizontal="center" vertical="center"/>
    </xf>
    <xf numFmtId="166" fontId="5" fillId="0" borderId="11" xfId="1" applyNumberFormat="1" applyFont="1" applyFill="1" applyBorder="1" applyAlignment="1">
      <alignment horizontal="right" vertical="center" wrapText="1"/>
    </xf>
    <xf numFmtId="0" fontId="0" fillId="10" borderId="0" xfId="0" applyFill="1"/>
    <xf numFmtId="2" fontId="0" fillId="7" borderId="1" xfId="0" applyNumberFormat="1" applyFill="1" applyBorder="1" applyAlignment="1">
      <alignment horizontal="center" vertical="center"/>
    </xf>
    <xf numFmtId="165" fontId="0" fillId="7" borderId="10" xfId="0" applyNumberFormat="1" applyFill="1" applyBorder="1" applyAlignment="1">
      <alignment horizontal="center" vertical="center"/>
    </xf>
    <xf numFmtId="0" fontId="3" fillId="0" borderId="38" xfId="0" applyFont="1" applyFill="1" applyBorder="1" applyAlignment="1"/>
    <xf numFmtId="0" fontId="3" fillId="0" borderId="39" xfId="0" applyFont="1" applyFill="1" applyBorder="1" applyAlignment="1"/>
    <xf numFmtId="0" fontId="3" fillId="0" borderId="38" xfId="0" applyFont="1" applyFill="1" applyBorder="1" applyAlignment="1">
      <alignment horizontal="center"/>
    </xf>
    <xf numFmtId="0" fontId="3" fillId="0" borderId="39" xfId="0" applyFont="1" applyFill="1" applyBorder="1" applyAlignment="1">
      <alignment horizontal="center"/>
    </xf>
    <xf numFmtId="0" fontId="3" fillId="0" borderId="40" xfId="0" applyFont="1" applyFill="1" applyBorder="1" applyAlignment="1">
      <alignment horizontal="center"/>
    </xf>
    <xf numFmtId="0" fontId="3" fillId="0" borderId="41" xfId="0" applyFont="1" applyFill="1" applyBorder="1" applyAlignment="1">
      <alignment horizontal="center"/>
    </xf>
    <xf numFmtId="0" fontId="3" fillId="0" borderId="39" xfId="0" applyFont="1" applyFill="1" applyBorder="1" applyAlignment="1">
      <alignment horizontal="left"/>
    </xf>
    <xf numFmtId="0" fontId="3" fillId="0" borderId="27" xfId="0" applyFont="1" applyFill="1" applyBorder="1" applyAlignment="1"/>
    <xf numFmtId="1" fontId="0" fillId="0" borderId="33" xfId="0" applyNumberFormat="1" applyFill="1" applyBorder="1" applyAlignment="1">
      <alignment horizontal="center" vertical="center"/>
    </xf>
    <xf numFmtId="0" fontId="0" fillId="0" borderId="14" xfId="0" applyFill="1" applyBorder="1" applyAlignment="1">
      <alignment horizontal="center" vertical="center" textRotation="89"/>
    </xf>
    <xf numFmtId="0" fontId="7" fillId="0" borderId="38" xfId="0" applyFont="1" applyFill="1" applyBorder="1" applyAlignment="1">
      <alignment vertical="center"/>
    </xf>
    <xf numFmtId="0" fontId="7" fillId="0" borderId="39" xfId="0" applyFont="1" applyFill="1" applyBorder="1" applyAlignment="1">
      <alignment vertical="center"/>
    </xf>
    <xf numFmtId="0" fontId="7" fillId="0" borderId="27" xfId="0" applyFont="1" applyFill="1" applyBorder="1" applyAlignment="1">
      <alignment vertical="center"/>
    </xf>
    <xf numFmtId="0" fontId="0" fillId="0" borderId="33" xfId="0" applyFill="1" applyBorder="1" applyAlignment="1">
      <alignment horizontal="center" vertical="center"/>
    </xf>
    <xf numFmtId="1" fontId="0" fillId="0" borderId="16" xfId="0" applyNumberFormat="1" applyFill="1" applyBorder="1" applyAlignment="1">
      <alignment horizontal="center" vertical="center"/>
    </xf>
    <xf numFmtId="0" fontId="0" fillId="0" borderId="42" xfId="0" applyFill="1" applyBorder="1" applyAlignment="1">
      <alignment horizontal="center" vertical="center" textRotation="89"/>
    </xf>
    <xf numFmtId="0" fontId="0" fillId="0" borderId="2" xfId="0" applyFill="1" applyBorder="1" applyAlignment="1">
      <alignment horizontal="center" vertical="center" textRotation="89"/>
    </xf>
    <xf numFmtId="0" fontId="7" fillId="0" borderId="43" xfId="0" applyFont="1" applyBorder="1" applyAlignment="1"/>
    <xf numFmtId="0" fontId="7" fillId="0" borderId="44" xfId="0" applyFont="1" applyBorder="1" applyAlignment="1"/>
    <xf numFmtId="1" fontId="7" fillId="0" borderId="45" xfId="0" applyNumberFormat="1" applyFont="1" applyBorder="1" applyAlignment="1">
      <alignment horizontal="center" vertical="center"/>
    </xf>
    <xf numFmtId="1" fontId="7" fillId="0" borderId="46" xfId="0" applyNumberFormat="1" applyFont="1" applyBorder="1" applyAlignment="1">
      <alignment horizontal="center" vertical="center"/>
    </xf>
    <xf numFmtId="0" fontId="7" fillId="0" borderId="39" xfId="0" applyFont="1" applyBorder="1" applyAlignment="1">
      <alignment horizontal="center" vertical="center"/>
    </xf>
    <xf numFmtId="0" fontId="7" fillId="0" borderId="27" xfId="0" applyFont="1" applyBorder="1" applyAlignment="1">
      <alignment horizontal="center" vertical="center"/>
    </xf>
    <xf numFmtId="166" fontId="5" fillId="0" borderId="0" xfId="1" applyNumberFormat="1" applyFont="1" applyBorder="1" applyAlignment="1">
      <alignment horizontal="right" vertical="center" wrapText="1"/>
    </xf>
    <xf numFmtId="166" fontId="5" fillId="0" borderId="0" xfId="1" applyNumberFormat="1" applyFont="1" applyFill="1" applyBorder="1" applyAlignment="1">
      <alignment horizontal="right"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47" xfId="0" applyFont="1" applyFill="1" applyBorder="1" applyAlignment="1">
      <alignment horizontal="right" vertical="center"/>
    </xf>
    <xf numFmtId="0" fontId="3" fillId="0" borderId="9" xfId="0" applyFont="1" applyFill="1" applyBorder="1" applyAlignment="1">
      <alignment horizontal="right" vertical="center"/>
    </xf>
    <xf numFmtId="0" fontId="0" fillId="0" borderId="47" xfId="0" applyFill="1" applyBorder="1" applyAlignment="1">
      <alignment horizontal="right" vertical="center"/>
    </xf>
    <xf numFmtId="0" fontId="0" fillId="0" borderId="9" xfId="0" applyFill="1" applyBorder="1" applyAlignment="1">
      <alignment horizontal="right"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3" fillId="0" borderId="31" xfId="0" applyFont="1" applyFill="1" applyBorder="1" applyAlignment="1">
      <alignment horizontal="right" vertical="center"/>
    </xf>
    <xf numFmtId="4" fontId="0" fillId="0" borderId="6" xfId="0" applyNumberFormat="1" applyFill="1" applyBorder="1" applyAlignment="1">
      <alignment horizontal="left" vertical="center"/>
    </xf>
    <xf numFmtId="4" fontId="0" fillId="0" borderId="24" xfId="0" applyNumberFormat="1" applyFill="1" applyBorder="1" applyAlignment="1">
      <alignment horizontal="left" vertical="center"/>
    </xf>
    <xf numFmtId="0" fontId="3" fillId="0" borderId="42" xfId="0" applyFont="1" applyFill="1" applyBorder="1" applyAlignment="1">
      <alignment horizontal="right" vertical="center"/>
    </xf>
    <xf numFmtId="0" fontId="3" fillId="0" borderId="48" xfId="0" applyFont="1" applyFill="1" applyBorder="1" applyAlignment="1">
      <alignment horizontal="right" vertical="center"/>
    </xf>
    <xf numFmtId="0" fontId="0" fillId="0" borderId="28" xfId="0" applyFill="1" applyBorder="1" applyAlignment="1">
      <alignment horizontal="center" vertical="center"/>
    </xf>
    <xf numFmtId="0" fontId="0" fillId="0" borderId="48" xfId="0" applyFill="1" applyBorder="1" applyAlignment="1">
      <alignment horizontal="center" vertical="center"/>
    </xf>
    <xf numFmtId="4" fontId="0" fillId="0" borderId="30" xfId="0" applyNumberFormat="1" applyFill="1" applyBorder="1" applyAlignment="1">
      <alignment horizontal="left" vertical="center"/>
    </xf>
    <xf numFmtId="4" fontId="0" fillId="0" borderId="26" xfId="0" applyNumberFormat="1" applyFill="1" applyBorder="1" applyAlignment="1">
      <alignment horizontal="left" vertical="center"/>
    </xf>
    <xf numFmtId="1" fontId="0" fillId="0" borderId="40" xfId="0" applyNumberFormat="1" applyFill="1" applyBorder="1" applyAlignment="1">
      <alignment vertical="center"/>
    </xf>
    <xf numFmtId="0" fontId="5" fillId="0" borderId="0" xfId="0" applyFont="1" applyAlignment="1">
      <alignment horizontal="right" vertical="center" wrapText="1"/>
    </xf>
    <xf numFmtId="0" fontId="4" fillId="0" borderId="0" xfId="0" applyFont="1" applyAlignment="1">
      <alignment horizontal="right" vertical="center" wrapText="1"/>
    </xf>
    <xf numFmtId="0" fontId="3" fillId="0" borderId="31" xfId="0" applyFont="1" applyFill="1" applyBorder="1" applyAlignment="1">
      <alignment horizontal="right"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0" borderId="47" xfId="0" applyFill="1" applyBorder="1" applyAlignment="1">
      <alignment horizontal="right" vertical="center"/>
    </xf>
    <xf numFmtId="0" fontId="0" fillId="0" borderId="9" xfId="0" applyFill="1" applyBorder="1" applyAlignment="1">
      <alignment horizontal="right" vertical="center"/>
    </xf>
    <xf numFmtId="0" fontId="3" fillId="0" borderId="47" xfId="0" applyFont="1" applyFill="1" applyBorder="1" applyAlignment="1">
      <alignment horizontal="right" vertical="center"/>
    </xf>
    <xf numFmtId="0" fontId="3" fillId="0" borderId="9" xfId="0" applyFont="1" applyFill="1" applyBorder="1" applyAlignment="1">
      <alignment horizontal="right" vertical="center"/>
    </xf>
    <xf numFmtId="0" fontId="0" fillId="0" borderId="1" xfId="0" applyFill="1" applyBorder="1" applyAlignment="1">
      <alignment horizontal="center"/>
    </xf>
    <xf numFmtId="1" fontId="0" fillId="0" borderId="41" xfId="0" applyNumberFormat="1" applyFill="1" applyBorder="1" applyAlignment="1">
      <alignment vertical="center"/>
    </xf>
    <xf numFmtId="4" fontId="0" fillId="0" borderId="6" xfId="0" applyNumberFormat="1" applyFill="1" applyBorder="1" applyAlignment="1">
      <alignment horizontal="left" vertical="center"/>
    </xf>
    <xf numFmtId="4" fontId="0" fillId="0" borderId="24" xfId="0" applyNumberFormat="1" applyFill="1" applyBorder="1" applyAlignment="1">
      <alignment horizontal="left" vertical="center"/>
    </xf>
    <xf numFmtId="0" fontId="0" fillId="0" borderId="1" xfId="0" applyFill="1" applyBorder="1" applyAlignment="1">
      <alignment horizontal="center"/>
    </xf>
    <xf numFmtId="0" fontId="0" fillId="0" borderId="6" xfId="0" applyFill="1" applyBorder="1" applyAlignment="1">
      <alignment horizontal="center"/>
    </xf>
    <xf numFmtId="0" fontId="0" fillId="0" borderId="9" xfId="0" applyFill="1" applyBorder="1" applyAlignment="1">
      <alignment horizont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1" fontId="0" fillId="0" borderId="49" xfId="0" applyNumberFormat="1" applyFill="1" applyBorder="1" applyAlignment="1">
      <alignment horizontal="center" vertical="center"/>
    </xf>
    <xf numFmtId="4" fontId="0" fillId="0" borderId="7" xfId="0" applyNumberFormat="1" applyBorder="1" applyAlignment="1">
      <alignment horizontal="center" vertical="center"/>
    </xf>
    <xf numFmtId="0" fontId="0" fillId="0" borderId="0" xfId="0" applyAlignment="1">
      <alignment horizontal="center"/>
    </xf>
    <xf numFmtId="4" fontId="0" fillId="0" borderId="0" xfId="0" applyNumberFormat="1" applyBorder="1" applyAlignment="1">
      <alignment horizontal="center" vertical="center"/>
    </xf>
    <xf numFmtId="0" fontId="0" fillId="0" borderId="0" xfId="0" applyAlignment="1">
      <alignment vertical="center"/>
    </xf>
    <xf numFmtId="3" fontId="0" fillId="0" borderId="0" xfId="0" applyNumberFormat="1" applyBorder="1" applyAlignment="1">
      <alignment horizontal="center" vertical="center"/>
    </xf>
    <xf numFmtId="49" fontId="0" fillId="0" borderId="6" xfId="0" applyNumberFormat="1" applyBorder="1" applyAlignment="1">
      <alignment horizontal="center" vertical="center"/>
    </xf>
    <xf numFmtId="12" fontId="0" fillId="0" borderId="6" xfId="0" applyNumberFormat="1" applyBorder="1" applyAlignment="1">
      <alignment horizontal="center" vertical="center"/>
    </xf>
    <xf numFmtId="1" fontId="3" fillId="0" borderId="1" xfId="0" applyNumberFormat="1" applyFont="1" applyFill="1" applyBorder="1" applyAlignment="1">
      <alignment horizontal="center" vertical="center"/>
    </xf>
    <xf numFmtId="1" fontId="0" fillId="0" borderId="0" xfId="0" applyNumberFormat="1" applyFill="1" applyBorder="1" applyAlignment="1">
      <alignment horizontal="center" vertical="center"/>
    </xf>
    <xf numFmtId="12" fontId="0" fillId="0" borderId="0" xfId="0" applyNumberFormat="1" applyFill="1" applyBorder="1" applyAlignment="1">
      <alignment horizontal="right" vertical="center"/>
    </xf>
    <xf numFmtId="2" fontId="0" fillId="0" borderId="0" xfId="0" applyNumberFormat="1" applyFill="1" applyBorder="1" applyAlignment="1">
      <alignment horizontal="right" vertical="center"/>
    </xf>
    <xf numFmtId="1" fontId="0" fillId="0" borderId="1" xfId="0" applyNumberFormat="1" applyFont="1" applyFill="1" applyBorder="1" applyAlignment="1">
      <alignment horizontal="center" vertical="center"/>
    </xf>
    <xf numFmtId="2" fontId="0" fillId="0" borderId="0" xfId="0" applyNumberFormat="1" applyFill="1" applyBorder="1" applyAlignment="1">
      <alignment vertical="center"/>
    </xf>
    <xf numFmtId="2" fontId="0" fillId="0" borderId="0" xfId="0" applyNumberFormat="1" applyAlignment="1">
      <alignment vertical="center"/>
    </xf>
    <xf numFmtId="0" fontId="3" fillId="0" borderId="0" xfId="0" applyFont="1" applyBorder="1" applyAlignment="1">
      <alignment horizontal="center" vertical="center"/>
    </xf>
    <xf numFmtId="0" fontId="0" fillId="11" borderId="1" xfId="0" applyFill="1" applyBorder="1" applyAlignment="1">
      <alignment horizontal="center" vertical="center"/>
    </xf>
    <xf numFmtId="49" fontId="0" fillId="11" borderId="6" xfId="0" applyNumberFormat="1" applyFill="1" applyBorder="1" applyAlignment="1">
      <alignment horizontal="center" vertical="center"/>
    </xf>
    <xf numFmtId="1" fontId="0" fillId="11" borderId="49" xfId="0" applyNumberFormat="1" applyFill="1" applyBorder="1" applyAlignment="1">
      <alignment horizontal="center" vertical="center"/>
    </xf>
    <xf numFmtId="0" fontId="0" fillId="11" borderId="6" xfId="0" applyNumberFormat="1" applyFill="1" applyBorder="1" applyAlignment="1">
      <alignment horizontal="center" vertical="center"/>
    </xf>
    <xf numFmtId="12" fontId="0" fillId="11" borderId="6" xfId="0" applyNumberFormat="1" applyFill="1" applyBorder="1" applyAlignment="1">
      <alignment horizontal="center" vertical="center"/>
    </xf>
    <xf numFmtId="0" fontId="0" fillId="11" borderId="11" xfId="0" applyFill="1" applyBorder="1" applyAlignment="1">
      <alignment horizontal="center" vertical="center"/>
    </xf>
    <xf numFmtId="49" fontId="0" fillId="11" borderId="14" xfId="0" applyNumberFormat="1" applyFill="1" applyBorder="1" applyAlignment="1">
      <alignment horizontal="center" vertical="center"/>
    </xf>
    <xf numFmtId="1" fontId="0" fillId="11" borderId="44" xfId="0" applyNumberFormat="1"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Fill="1" applyBorder="1" applyAlignment="1">
      <alignment horizontal="center" vertical="center"/>
    </xf>
    <xf numFmtId="0" fontId="0" fillId="0" borderId="34" xfId="0" applyFill="1" applyBorder="1" applyAlignment="1">
      <alignment horizontal="center" vertical="center" wrapText="1"/>
    </xf>
    <xf numFmtId="4" fontId="0" fillId="0" borderId="0" xfId="0" applyNumberFormat="1" applyAlignment="1">
      <alignment horizontal="center" vertical="center"/>
    </xf>
    <xf numFmtId="0" fontId="3" fillId="0" borderId="17" xfId="0" applyFont="1" applyBorder="1" applyAlignment="1">
      <alignment vertical="center"/>
    </xf>
    <xf numFmtId="0" fontId="0" fillId="12" borderId="54" xfId="0" applyFill="1" applyBorder="1" applyAlignment="1">
      <alignment horizontal="center" vertical="center"/>
    </xf>
    <xf numFmtId="4" fontId="0" fillId="0" borderId="0" xfId="0" applyNumberFormat="1" applyAlignment="1">
      <alignment vertical="center"/>
    </xf>
    <xf numFmtId="0" fontId="0" fillId="0" borderId="51" xfId="0" applyBorder="1"/>
    <xf numFmtId="0" fontId="0" fillId="0" borderId="34" xfId="0" applyBorder="1"/>
    <xf numFmtId="1" fontId="0" fillId="0" borderId="37" xfId="0" applyNumberFormat="1" applyFill="1" applyBorder="1" applyAlignment="1">
      <alignment horizontal="center" vertical="center"/>
    </xf>
    <xf numFmtId="1" fontId="0" fillId="0" borderId="37" xfId="0" applyNumberFormat="1" applyFont="1" applyFill="1" applyBorder="1" applyAlignment="1">
      <alignment horizontal="center" vertical="center"/>
    </xf>
    <xf numFmtId="4" fontId="0" fillId="0" borderId="22" xfId="0" applyNumberFormat="1" applyBorder="1" applyAlignment="1">
      <alignment horizontal="center" vertical="center"/>
    </xf>
    <xf numFmtId="1" fontId="3" fillId="0" borderId="33" xfId="0" applyNumberFormat="1" applyFont="1" applyFill="1" applyBorder="1" applyAlignment="1">
      <alignment horizontal="center" vertical="center"/>
    </xf>
    <xf numFmtId="1" fontId="0" fillId="0" borderId="0" xfId="0" applyNumberFormat="1" applyFill="1" applyBorder="1" applyAlignment="1">
      <alignment vertical="center"/>
    </xf>
    <xf numFmtId="1" fontId="0" fillId="0" borderId="1" xfId="0" applyNumberFormat="1" applyFill="1" applyBorder="1" applyAlignment="1">
      <alignment horizontal="center" vertical="center"/>
    </xf>
    <xf numFmtId="4" fontId="3" fillId="0" borderId="7" xfId="0" applyNumberFormat="1" applyFont="1" applyFill="1" applyBorder="1" applyAlignment="1">
      <alignment horizontal="center" vertical="center"/>
    </xf>
    <xf numFmtId="169" fontId="0" fillId="0" borderId="0" xfId="0" applyNumberFormat="1"/>
    <xf numFmtId="0" fontId="8" fillId="0" borderId="0" xfId="0" applyFont="1"/>
    <xf numFmtId="169" fontId="0" fillId="0" borderId="1" xfId="0" applyNumberFormat="1" applyBorder="1"/>
    <xf numFmtId="1" fontId="3" fillId="11" borderId="46" xfId="0" applyNumberFormat="1" applyFont="1" applyFill="1" applyBorder="1" applyAlignment="1">
      <alignment horizontal="center" vertical="center"/>
    </xf>
    <xf numFmtId="1" fontId="3" fillId="0" borderId="54" xfId="0" applyNumberFormat="1" applyFont="1" applyFill="1" applyBorder="1" applyAlignment="1">
      <alignment horizontal="center" vertical="center"/>
    </xf>
    <xf numFmtId="1" fontId="3" fillId="11" borderId="54" xfId="0" applyNumberFormat="1" applyFont="1" applyFill="1" applyBorder="1" applyAlignment="1">
      <alignment horizontal="center" vertical="center"/>
    </xf>
    <xf numFmtId="1" fontId="3" fillId="11" borderId="55" xfId="0" applyNumberFormat="1" applyFont="1" applyFill="1" applyBorder="1" applyAlignment="1">
      <alignment horizontal="center" vertical="center"/>
    </xf>
    <xf numFmtId="0" fontId="3" fillId="11" borderId="54" xfId="0" applyFont="1" applyFill="1" applyBorder="1" applyAlignment="1">
      <alignment horizontal="center" vertical="center"/>
    </xf>
    <xf numFmtId="0" fontId="3" fillId="0" borderId="54" xfId="0" applyFont="1" applyBorder="1" applyAlignment="1">
      <alignment horizontal="center" vertical="center"/>
    </xf>
    <xf numFmtId="1" fontId="0" fillId="0" borderId="49" xfId="0" applyNumberFormat="1" applyFill="1" applyBorder="1" applyAlignment="1">
      <alignment horizontal="center" vertical="center"/>
    </xf>
    <xf numFmtId="0" fontId="0" fillId="0" borderId="56" xfId="0" applyBorder="1"/>
    <xf numFmtId="0" fontId="0" fillId="0" borderId="57" xfId="0" applyBorder="1"/>
    <xf numFmtId="1" fontId="0" fillId="0" borderId="58" xfId="0" applyNumberFormat="1" applyFill="1" applyBorder="1" applyAlignment="1">
      <alignment horizontal="center" vertical="center"/>
    </xf>
    <xf numFmtId="1" fontId="0" fillId="0" borderId="2" xfId="0" applyNumberFormat="1" applyFill="1" applyBorder="1" applyAlignment="1">
      <alignment horizontal="center" vertical="center"/>
    </xf>
    <xf numFmtId="1" fontId="3" fillId="0" borderId="2" xfId="0" applyNumberFormat="1" applyFont="1" applyFill="1" applyBorder="1" applyAlignment="1">
      <alignment horizontal="center" vertical="center"/>
    </xf>
    <xf numFmtId="1" fontId="0" fillId="0" borderId="44" xfId="0" applyNumberFormat="1" applyBorder="1" applyAlignment="1">
      <alignment horizontal="center" vertical="center"/>
    </xf>
    <xf numFmtId="1" fontId="0" fillId="0" borderId="39" xfId="0" applyNumberFormat="1" applyFill="1" applyBorder="1" applyAlignment="1">
      <alignment vertical="center"/>
    </xf>
    <xf numFmtId="1" fontId="0" fillId="0" borderId="22" xfId="0" applyNumberFormat="1" applyFill="1" applyBorder="1" applyAlignment="1">
      <alignment horizontal="center" vertical="center"/>
    </xf>
    <xf numFmtId="1" fontId="3" fillId="0" borderId="7" xfId="0" applyNumberFormat="1" applyFont="1" applyFill="1" applyBorder="1" applyAlignment="1">
      <alignment horizontal="center" vertical="center"/>
    </xf>
    <xf numFmtId="1" fontId="0" fillId="0" borderId="4" xfId="0" applyNumberFormat="1" applyFill="1" applyBorder="1" applyAlignment="1">
      <alignment vertical="center"/>
    </xf>
    <xf numFmtId="1" fontId="0" fillId="0" borderId="44" xfId="0" applyNumberFormat="1" applyFill="1" applyBorder="1" applyAlignment="1">
      <alignment vertical="center"/>
    </xf>
    <xf numFmtId="1" fontId="3" fillId="0" borderId="37" xfId="0" applyNumberFormat="1" applyFont="1" applyFill="1" applyBorder="1" applyAlignment="1">
      <alignment horizontal="center" vertical="center"/>
    </xf>
    <xf numFmtId="1" fontId="0" fillId="0" borderId="4" xfId="0" applyNumberFormat="1" applyFill="1" applyBorder="1" applyAlignment="1">
      <alignment horizontal="center" vertical="center"/>
    </xf>
    <xf numFmtId="1" fontId="0" fillId="0" borderId="58" xfId="0" applyNumberFormat="1" applyFont="1" applyFill="1" applyBorder="1" applyAlignment="1">
      <alignment horizontal="center" vertical="center"/>
    </xf>
    <xf numFmtId="1" fontId="0" fillId="0" borderId="22" xfId="0" applyNumberFormat="1" applyFont="1" applyFill="1" applyBorder="1" applyAlignment="1">
      <alignment horizontal="center" vertical="center"/>
    </xf>
    <xf numFmtId="1" fontId="0" fillId="0" borderId="2" xfId="0" applyNumberFormat="1" applyFont="1" applyFill="1" applyBorder="1" applyAlignment="1">
      <alignment horizontal="center" vertical="center"/>
    </xf>
    <xf numFmtId="1" fontId="0" fillId="0" borderId="7" xfId="0" applyNumberFormat="1" applyFont="1" applyFill="1" applyBorder="1" applyAlignment="1">
      <alignment horizontal="center" vertical="center"/>
    </xf>
    <xf numFmtId="1" fontId="0" fillId="0" borderId="8" xfId="0" applyNumberFormat="1" applyFont="1" applyFill="1" applyBorder="1" applyAlignment="1">
      <alignment horizontal="center" vertical="center"/>
    </xf>
    <xf numFmtId="1" fontId="0" fillId="0" borderId="33" xfId="0" applyNumberFormat="1" applyFont="1" applyFill="1" applyBorder="1" applyAlignment="1">
      <alignment horizontal="center" vertical="center"/>
    </xf>
    <xf numFmtId="1" fontId="0" fillId="0" borderId="16" xfId="0" applyNumberFormat="1" applyFont="1" applyFill="1" applyBorder="1" applyAlignment="1">
      <alignment horizontal="center" vertical="center"/>
    </xf>
    <xf numFmtId="1" fontId="0" fillId="0" borderId="58" xfId="0" applyNumberFormat="1" applyFont="1" applyBorder="1" applyAlignment="1">
      <alignment horizontal="center" vertical="center"/>
    </xf>
    <xf numFmtId="1" fontId="0" fillId="0" borderId="37" xfId="0" applyNumberFormat="1" applyFont="1" applyBorder="1" applyAlignment="1">
      <alignment horizontal="center" vertical="center"/>
    </xf>
    <xf numFmtId="4" fontId="0" fillId="0" borderId="22" xfId="0" applyNumberFormat="1" applyFont="1" applyBorder="1" applyAlignment="1">
      <alignment horizontal="center" vertical="center"/>
    </xf>
    <xf numFmtId="1" fontId="0" fillId="0" borderId="2" xfId="0" applyNumberFormat="1" applyFont="1" applyBorder="1" applyAlignment="1">
      <alignment horizontal="center" vertical="center"/>
    </xf>
    <xf numFmtId="1" fontId="0" fillId="0" borderId="1" xfId="0" applyNumberFormat="1" applyFont="1" applyBorder="1" applyAlignment="1">
      <alignment horizontal="center" vertical="center"/>
    </xf>
    <xf numFmtId="4" fontId="0" fillId="0" borderId="7" xfId="0" applyNumberFormat="1" applyFont="1" applyBorder="1" applyAlignment="1">
      <alignment horizontal="center" vertical="center"/>
    </xf>
    <xf numFmtId="1" fontId="8" fillId="0" borderId="1" xfId="0" applyNumberFormat="1" applyFont="1" applyFill="1" applyBorder="1" applyAlignment="1">
      <alignment horizontal="center" vertical="center"/>
    </xf>
    <xf numFmtId="4" fontId="0" fillId="0" borderId="16" xfId="0" applyNumberFormat="1" applyFont="1" applyBorder="1" applyAlignment="1">
      <alignment horizontal="center" vertical="center"/>
    </xf>
    <xf numFmtId="1" fontId="0" fillId="0" borderId="8" xfId="0" applyNumberFormat="1" applyFill="1" applyBorder="1" applyAlignment="1">
      <alignment horizontal="center" vertical="center"/>
    </xf>
    <xf numFmtId="0" fontId="0" fillId="0" borderId="37" xfId="0" applyBorder="1"/>
    <xf numFmtId="164" fontId="0" fillId="0" borderId="37" xfId="0" applyNumberFormat="1" applyBorder="1"/>
    <xf numFmtId="2" fontId="0" fillId="3" borderId="37" xfId="0" applyNumberFormat="1" applyFill="1" applyBorder="1"/>
    <xf numFmtId="165" fontId="0" fillId="3" borderId="22" xfId="0" applyNumberFormat="1" applyFill="1" applyBorder="1"/>
    <xf numFmtId="165" fontId="0" fillId="3" borderId="7" xfId="0" applyNumberFormat="1" applyFill="1" applyBorder="1"/>
    <xf numFmtId="164" fontId="0" fillId="0" borderId="33" xfId="0" applyNumberFormat="1" applyBorder="1"/>
    <xf numFmtId="2" fontId="0" fillId="3" borderId="33" xfId="0" applyNumberFormat="1" applyFill="1" applyBorder="1"/>
    <xf numFmtId="165" fontId="0" fillId="3" borderId="16" xfId="0" applyNumberFormat="1" applyFill="1" applyBorder="1"/>
    <xf numFmtId="0" fontId="0" fillId="0" borderId="10" xfId="0" applyFill="1" applyBorder="1" applyAlignment="1">
      <alignment horizontal="center"/>
    </xf>
    <xf numFmtId="0" fontId="8" fillId="13" borderId="54" xfId="0" applyFont="1" applyFill="1" applyBorder="1"/>
    <xf numFmtId="2" fontId="0" fillId="8" borderId="1" xfId="0" applyNumberFormat="1" applyFill="1" applyBorder="1"/>
    <xf numFmtId="0" fontId="0" fillId="0" borderId="17" xfId="0" applyBorder="1" applyAlignment="1">
      <alignment horizontal="left" vertical="center"/>
    </xf>
    <xf numFmtId="0" fontId="0" fillId="0" borderId="0" xfId="0" applyBorder="1" applyAlignment="1">
      <alignment horizontal="left" vertical="center"/>
    </xf>
    <xf numFmtId="0" fontId="9" fillId="0" borderId="1" xfId="0" applyFont="1" applyBorder="1" applyAlignment="1">
      <alignment horizontal="center" vertical="center"/>
    </xf>
    <xf numFmtId="0" fontId="3" fillId="0" borderId="0" xfId="0" applyFont="1" applyAlignment="1">
      <alignment horizontal="center" vertical="center"/>
    </xf>
    <xf numFmtId="2" fontId="0" fillId="0" borderId="61" xfId="0" applyNumberFormat="1" applyBorder="1"/>
    <xf numFmtId="2" fontId="0" fillId="0" borderId="1" xfId="0" applyNumberFormat="1" applyBorder="1" applyAlignment="1">
      <alignment vertical="center"/>
    </xf>
    <xf numFmtId="0" fontId="0" fillId="0" borderId="1" xfId="0" applyBorder="1" applyAlignment="1">
      <alignment horizontal="left" vertical="center"/>
    </xf>
    <xf numFmtId="2" fontId="0" fillId="0" borderId="1" xfId="0" applyNumberFormat="1" applyBorder="1" applyAlignment="1">
      <alignment horizontal="right" vertical="center"/>
    </xf>
    <xf numFmtId="2" fontId="0" fillId="9" borderId="22" xfId="0" applyNumberFormat="1" applyFill="1" applyBorder="1" applyAlignment="1">
      <alignment vertical="center"/>
    </xf>
    <xf numFmtId="2" fontId="0" fillId="9" borderId="16" xfId="0" applyNumberFormat="1" applyFill="1" applyBorder="1" applyAlignment="1">
      <alignment vertical="center"/>
    </xf>
    <xf numFmtId="2" fontId="0" fillId="14" borderId="11" xfId="0" applyNumberFormat="1" applyFill="1" applyBorder="1" applyAlignment="1">
      <alignment vertical="center"/>
    </xf>
    <xf numFmtId="2" fontId="0" fillId="3" borderId="11" xfId="0" applyNumberFormat="1" applyFill="1" applyBorder="1" applyAlignment="1">
      <alignment vertical="center"/>
    </xf>
    <xf numFmtId="2" fontId="0" fillId="14" borderId="1" xfId="0" applyNumberFormat="1" applyFill="1" applyBorder="1" applyAlignment="1">
      <alignment vertical="center"/>
    </xf>
    <xf numFmtId="2" fontId="0" fillId="3" borderId="1" xfId="0" applyNumberFormat="1" applyFill="1" applyBorder="1" applyAlignment="1">
      <alignment vertical="center"/>
    </xf>
    <xf numFmtId="0" fontId="0" fillId="0" borderId="10" xfId="0" applyBorder="1" applyAlignment="1">
      <alignment vertical="center"/>
    </xf>
    <xf numFmtId="2" fontId="0" fillId="9" borderId="37" xfId="0" applyNumberFormat="1" applyFill="1" applyBorder="1" applyAlignment="1">
      <alignment vertical="center"/>
    </xf>
    <xf numFmtId="2" fontId="0" fillId="9" borderId="33" xfId="0" applyNumberFormat="1" applyFill="1" applyBorder="1" applyAlignment="1">
      <alignment vertical="center"/>
    </xf>
    <xf numFmtId="1" fontId="0" fillId="0" borderId="0" xfId="0" applyNumberFormat="1" applyBorder="1" applyAlignment="1">
      <alignment vertical="center"/>
    </xf>
    <xf numFmtId="1" fontId="0" fillId="0" borderId="60" xfId="0" applyNumberFormat="1" applyFill="1" applyBorder="1" applyAlignment="1">
      <alignment vertical="center"/>
    </xf>
    <xf numFmtId="1" fontId="0" fillId="0" borderId="58" xfId="0" applyNumberFormat="1" applyBorder="1" applyAlignment="1">
      <alignment horizontal="center" vertical="center"/>
    </xf>
    <xf numFmtId="1" fontId="0" fillId="0" borderId="2" xfId="0" applyNumberFormat="1" applyBorder="1" applyAlignment="1">
      <alignment horizontal="center" vertical="center"/>
    </xf>
    <xf numFmtId="1" fontId="0" fillId="0" borderId="4" xfId="0" applyNumberFormat="1" applyBorder="1" applyAlignment="1">
      <alignment vertical="center"/>
    </xf>
    <xf numFmtId="0" fontId="3" fillId="0" borderId="0" xfId="0" applyFont="1" applyBorder="1"/>
    <xf numFmtId="0" fontId="0" fillId="0" borderId="0" xfId="0" applyAlignment="1">
      <alignment horizontal="center" vertical="center"/>
    </xf>
    <xf numFmtId="0" fontId="0" fillId="0" borderId="1" xfId="0" applyFill="1" applyBorder="1" applyAlignment="1">
      <alignment horizontal="center"/>
    </xf>
    <xf numFmtId="0" fontId="0" fillId="0" borderId="52" xfId="0" applyBorder="1"/>
    <xf numFmtId="0" fontId="3" fillId="0" borderId="61" xfId="0" applyFont="1" applyFill="1" applyBorder="1" applyAlignment="1"/>
    <xf numFmtId="0" fontId="3" fillId="0" borderId="63" xfId="0" applyFont="1" applyFill="1" applyBorder="1" applyAlignment="1"/>
    <xf numFmtId="0" fontId="3" fillId="0" borderId="6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3" fillId="0" borderId="53" xfId="0" applyFont="1" applyFill="1" applyBorder="1" applyAlignment="1">
      <alignment horizontal="center"/>
    </xf>
    <xf numFmtId="0" fontId="3" fillId="0" borderId="63" xfId="0" applyFont="1" applyFill="1" applyBorder="1" applyAlignment="1">
      <alignment horizontal="left"/>
    </xf>
    <xf numFmtId="0" fontId="3" fillId="0" borderId="65" xfId="0" applyFont="1" applyFill="1" applyBorder="1" applyAlignment="1"/>
    <xf numFmtId="165" fontId="0" fillId="0" borderId="8" xfId="0" applyNumberFormat="1" applyFill="1" applyBorder="1" applyAlignment="1">
      <alignment horizontal="center" vertical="center"/>
    </xf>
    <xf numFmtId="4" fontId="0" fillId="0" borderId="1" xfId="0" applyNumberFormat="1" applyBorder="1"/>
    <xf numFmtId="4" fontId="0" fillId="3" borderId="1" xfId="0" applyNumberFormat="1" applyFill="1" applyBorder="1"/>
    <xf numFmtId="4" fontId="0" fillId="0" borderId="1" xfId="0" applyNumberFormat="1" applyBorder="1" applyAlignment="1"/>
    <xf numFmtId="2" fontId="0" fillId="0" borderId="0" xfId="0" applyNumberFormat="1"/>
    <xf numFmtId="0" fontId="0" fillId="15" borderId="0" xfId="0" applyFill="1"/>
    <xf numFmtId="4" fontId="3" fillId="0" borderId="0" xfId="0" applyNumberFormat="1" applyFont="1" applyBorder="1" applyAlignment="1"/>
    <xf numFmtId="2" fontId="0" fillId="9" borderId="10" xfId="0" applyNumberFormat="1" applyFill="1" applyBorder="1"/>
    <xf numFmtId="2" fontId="0" fillId="9" borderId="37" xfId="0" applyNumberFormat="1" applyFill="1" applyBorder="1"/>
    <xf numFmtId="2" fontId="0" fillId="9" borderId="10" xfId="0" applyNumberFormat="1" applyFill="1" applyBorder="1" applyAlignment="1">
      <alignment vertical="center"/>
    </xf>
    <xf numFmtId="2" fontId="0" fillId="3" borderId="22" xfId="0" applyNumberFormat="1" applyFill="1" applyBorder="1" applyAlignment="1">
      <alignment vertical="center"/>
    </xf>
    <xf numFmtId="2" fontId="0" fillId="3" borderId="7" xfId="0" applyNumberFormat="1" applyFill="1" applyBorder="1" applyAlignment="1">
      <alignment vertical="center"/>
    </xf>
    <xf numFmtId="2" fontId="0" fillId="3" borderId="16" xfId="0" applyNumberFormat="1" applyFill="1" applyBorder="1" applyAlignment="1">
      <alignment vertical="center"/>
    </xf>
    <xf numFmtId="1" fontId="0" fillId="0" borderId="49" xfId="0" applyNumberFormat="1" applyFill="1" applyBorder="1" applyAlignment="1">
      <alignment horizontal="center" vertical="center"/>
    </xf>
    <xf numFmtId="2" fontId="0" fillId="0" borderId="33" xfId="0" applyNumberFormat="1" applyBorder="1" applyAlignment="1">
      <alignment vertical="center"/>
    </xf>
    <xf numFmtId="2" fontId="10" fillId="0" borderId="0" xfId="0" applyNumberFormat="1" applyFont="1" applyFill="1" applyBorder="1" applyAlignment="1">
      <alignment vertical="center"/>
    </xf>
    <xf numFmtId="2" fontId="0" fillId="0" borderId="0" xfId="0" applyNumberFormat="1" applyFill="1" applyBorder="1"/>
    <xf numFmtId="2" fontId="10" fillId="3" borderId="11" xfId="0" applyNumberFormat="1" applyFont="1" applyFill="1" applyBorder="1" applyAlignment="1">
      <alignment vertical="center"/>
    </xf>
    <xf numFmtId="0" fontId="0" fillId="0" borderId="0" xfId="0" applyBorder="1" applyAlignment="1">
      <alignment horizontal="center" vertical="center" textRotation="90" wrapText="1"/>
    </xf>
    <xf numFmtId="2" fontId="10" fillId="0" borderId="1" xfId="0" applyNumberFormat="1" applyFont="1" applyFill="1" applyBorder="1" applyAlignment="1">
      <alignment vertical="center"/>
    </xf>
    <xf numFmtId="0" fontId="0" fillId="0" borderId="2" xfId="0" applyBorder="1" applyAlignment="1">
      <alignment vertical="center"/>
    </xf>
    <xf numFmtId="0" fontId="0" fillId="0" borderId="1" xfId="0" applyBorder="1" applyAlignment="1">
      <alignment vertical="center"/>
    </xf>
    <xf numFmtId="4" fontId="0" fillId="0" borderId="7" xfId="0" applyNumberFormat="1" applyBorder="1" applyAlignment="1">
      <alignment vertical="center"/>
    </xf>
    <xf numFmtId="0" fontId="0" fillId="0" borderId="17"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33" xfId="0" applyBorder="1" applyAlignment="1">
      <alignment vertical="center"/>
    </xf>
    <xf numFmtId="4" fontId="0" fillId="0" borderId="16" xfId="0" applyNumberFormat="1" applyBorder="1" applyAlignment="1">
      <alignment vertical="center"/>
    </xf>
    <xf numFmtId="2" fontId="0" fillId="8" borderId="1" xfId="0" applyNumberFormat="1" applyFill="1" applyBorder="1" applyAlignment="1">
      <alignment vertical="center"/>
    </xf>
    <xf numFmtId="2" fontId="0" fillId="11" borderId="37" xfId="0" applyNumberFormat="1" applyFill="1" applyBorder="1" applyAlignment="1">
      <alignment vertical="center"/>
    </xf>
    <xf numFmtId="2" fontId="0" fillId="11" borderId="1" xfId="0" applyNumberFormat="1" applyFill="1" applyBorder="1" applyAlignment="1">
      <alignment vertical="center"/>
    </xf>
    <xf numFmtId="2" fontId="10" fillId="11" borderId="11" xfId="0" applyNumberFormat="1" applyFont="1" applyFill="1" applyBorder="1" applyAlignment="1">
      <alignment vertical="center"/>
    </xf>
    <xf numFmtId="2" fontId="0" fillId="11" borderId="1" xfId="0" applyNumberFormat="1" applyFill="1" applyBorder="1"/>
    <xf numFmtId="0" fontId="0" fillId="0" borderId="52" xfId="0" applyBorder="1" applyAlignment="1">
      <alignment vertical="center"/>
    </xf>
    <xf numFmtId="0" fontId="0" fillId="0" borderId="34" xfId="0" applyBorder="1" applyAlignment="1">
      <alignment vertical="center"/>
    </xf>
    <xf numFmtId="0" fontId="10" fillId="0" borderId="0" xfId="0" applyFont="1" applyFill="1" applyBorder="1" applyAlignment="1">
      <alignment horizontal="center" vertical="center"/>
    </xf>
    <xf numFmtId="4" fontId="11" fillId="0" borderId="0" xfId="0" applyNumberFormat="1" applyFont="1" applyFill="1" applyBorder="1" applyAlignment="1">
      <alignment horizontal="right" vertical="center"/>
    </xf>
    <xf numFmtId="0" fontId="0" fillId="0" borderId="0" xfId="0" applyFill="1" applyBorder="1" applyAlignment="1">
      <alignment vertical="center"/>
    </xf>
    <xf numFmtId="0" fontId="10" fillId="0" borderId="0" xfId="0" applyFont="1" applyFill="1" applyBorder="1" applyAlignment="1">
      <alignment vertical="center" wrapText="1"/>
    </xf>
    <xf numFmtId="49" fontId="0" fillId="0" borderId="0" xfId="0" applyNumberFormat="1" applyFill="1" applyBorder="1" applyAlignment="1">
      <alignment horizontal="center" vertical="center"/>
    </xf>
    <xf numFmtId="0" fontId="0" fillId="0" borderId="0" xfId="0" applyNumberFormat="1" applyFill="1" applyBorder="1" applyAlignment="1">
      <alignment horizontal="center" vertical="center"/>
    </xf>
    <xf numFmtId="0" fontId="0" fillId="0" borderId="0" xfId="0" applyAlignment="1">
      <alignment horizontal="center" vertical="center"/>
    </xf>
    <xf numFmtId="1" fontId="0" fillId="0" borderId="6" xfId="0" applyNumberFormat="1" applyFill="1" applyBorder="1" applyAlignment="1">
      <alignment horizontal="center" vertical="center"/>
    </xf>
    <xf numFmtId="0" fontId="3" fillId="0" borderId="0" xfId="0" applyFont="1" applyBorder="1" applyAlignment="1">
      <alignment horizontal="center" vertical="center"/>
    </xf>
    <xf numFmtId="1" fontId="0" fillId="0" borderId="10" xfId="0" applyNumberFormat="1" applyFill="1" applyBorder="1" applyAlignment="1">
      <alignment horizontal="center" vertical="center"/>
    </xf>
    <xf numFmtId="1" fontId="0" fillId="0" borderId="50" xfId="0" applyNumberFormat="1" applyFill="1" applyBorder="1" applyAlignment="1">
      <alignment horizontal="center" vertical="center"/>
    </xf>
    <xf numFmtId="1"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1" fontId="0" fillId="0" borderId="11" xfId="0" applyNumberFormat="1" applyFill="1" applyBorder="1" applyAlignment="1">
      <alignment horizontal="center" vertical="center"/>
    </xf>
    <xf numFmtId="4" fontId="0" fillId="0" borderId="50" xfId="0" applyNumberFormat="1" applyFill="1" applyBorder="1" applyAlignment="1">
      <alignment horizontal="center" vertical="center"/>
    </xf>
    <xf numFmtId="4" fontId="0" fillId="0" borderId="36" xfId="0" applyNumberFormat="1" applyFill="1" applyBorder="1" applyAlignment="1">
      <alignment horizontal="center" vertical="center"/>
    </xf>
    <xf numFmtId="1" fontId="0" fillId="0" borderId="36" xfId="0" applyNumberFormat="1" applyFill="1" applyBorder="1" applyAlignment="1">
      <alignment horizontal="center" vertical="center"/>
    </xf>
    <xf numFmtId="1" fontId="0" fillId="0" borderId="59" xfId="0" applyNumberFormat="1" applyFont="1" applyFill="1" applyBorder="1" applyAlignment="1">
      <alignment horizontal="center" vertical="center"/>
    </xf>
    <xf numFmtId="1" fontId="0" fillId="0" borderId="62" xfId="0" applyNumberFormat="1" applyFont="1" applyFill="1" applyBorder="1" applyAlignment="1">
      <alignment horizontal="center" vertical="center"/>
    </xf>
    <xf numFmtId="1" fontId="0" fillId="0" borderId="10" xfId="0" applyNumberFormat="1" applyFont="1" applyFill="1" applyBorder="1" applyAlignment="1">
      <alignment horizontal="center" vertical="center"/>
    </xf>
    <xf numFmtId="1" fontId="0" fillId="0" borderId="11" xfId="0" applyNumberFormat="1" applyFont="1" applyFill="1" applyBorder="1" applyAlignment="1">
      <alignment horizontal="center" vertical="center"/>
    </xf>
    <xf numFmtId="1" fontId="0" fillId="0" borderId="18" xfId="0" applyNumberFormat="1" applyFill="1" applyBorder="1" applyAlignment="1">
      <alignment horizontal="center" vertical="center"/>
    </xf>
    <xf numFmtId="1" fontId="0" fillId="0" borderId="20" xfId="0" applyNumberFormat="1" applyFill="1" applyBorder="1" applyAlignment="1">
      <alignment horizontal="center" vertical="center"/>
    </xf>
    <xf numFmtId="1" fontId="0" fillId="0" borderId="21"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44" xfId="0" applyNumberFormat="1" applyFill="1" applyBorder="1" applyAlignment="1">
      <alignment horizontal="center" vertical="center"/>
    </xf>
    <xf numFmtId="1" fontId="0" fillId="0" borderId="0" xfId="0" applyNumberFormat="1" applyFill="1" applyBorder="1" applyAlignment="1">
      <alignment horizontal="center" vertical="center"/>
    </xf>
    <xf numFmtId="0" fontId="3" fillId="0" borderId="0" xfId="0" applyFont="1" applyBorder="1" applyAlignment="1">
      <alignment horizontal="center" vertical="center"/>
    </xf>
    <xf numFmtId="4" fontId="0" fillId="0" borderId="6" xfId="0" applyNumberFormat="1" applyFill="1" applyBorder="1" applyAlignment="1">
      <alignment horizontal="left" vertical="center"/>
    </xf>
    <xf numFmtId="4" fontId="0" fillId="0" borderId="24" xfId="0" applyNumberFormat="1" applyFill="1" applyBorder="1" applyAlignment="1">
      <alignment horizontal="left" vertical="center"/>
    </xf>
    <xf numFmtId="1" fontId="0" fillId="0" borderId="49" xfId="0" applyNumberFormat="1" applyFill="1" applyBorder="1" applyAlignment="1">
      <alignment horizontal="center" vertical="center"/>
    </xf>
    <xf numFmtId="0" fontId="0" fillId="0" borderId="0" xfId="0" applyAlignment="1">
      <alignment horizontal="center" vertical="center"/>
    </xf>
    <xf numFmtId="1" fontId="0" fillId="0" borderId="11" xfId="0" applyNumberFormat="1" applyFill="1" applyBorder="1" applyAlignment="1">
      <alignment horizontal="center" vertical="center"/>
    </xf>
    <xf numFmtId="4" fontId="0" fillId="0" borderId="36" xfId="0" applyNumberFormat="1" applyBorder="1" applyAlignment="1">
      <alignment horizontal="center" vertical="center"/>
    </xf>
    <xf numFmtId="1" fontId="0" fillId="0" borderId="62" xfId="0" applyNumberFormat="1" applyFill="1" applyBorder="1" applyAlignment="1">
      <alignment horizontal="center" vertical="center"/>
    </xf>
    <xf numFmtId="0" fontId="3" fillId="0" borderId="0" xfId="0" applyFont="1" applyFill="1" applyBorder="1" applyAlignment="1">
      <alignment horizontal="center" vertical="center"/>
    </xf>
    <xf numFmtId="4" fontId="0" fillId="0" borderId="36" xfId="0" applyNumberFormat="1" applyFill="1" applyBorder="1" applyAlignment="1">
      <alignment horizontal="center" vertical="center"/>
    </xf>
    <xf numFmtId="0" fontId="0" fillId="0" borderId="1" xfId="0" applyBorder="1" applyAlignment="1">
      <alignment horizontal="center" vertical="center"/>
    </xf>
    <xf numFmtId="0" fontId="0" fillId="11" borderId="1" xfId="0" applyFill="1" applyBorder="1" applyAlignment="1">
      <alignment horizontal="center" vertical="center"/>
    </xf>
    <xf numFmtId="1" fontId="0" fillId="0" borderId="1" xfId="0" applyNumberFormat="1" applyFill="1" applyBorder="1" applyAlignment="1">
      <alignment horizontal="center" vertical="center"/>
    </xf>
    <xf numFmtId="1" fontId="0" fillId="0" borderId="28" xfId="0" applyNumberFormat="1" applyFill="1" applyBorder="1" applyAlignment="1">
      <alignment horizontal="center" vertical="center"/>
    </xf>
    <xf numFmtId="4" fontId="0" fillId="0" borderId="7" xfId="0" applyNumberFormat="1" applyFont="1" applyFill="1" applyBorder="1" applyAlignment="1">
      <alignment horizontal="center" vertical="center"/>
    </xf>
    <xf numFmtId="1" fontId="0" fillId="0" borderId="0" xfId="0" applyNumberFormat="1" applyFill="1" applyBorder="1" applyAlignment="1">
      <alignment horizontal="left" vertical="center"/>
    </xf>
    <xf numFmtId="1" fontId="0" fillId="0" borderId="2" xfId="0" applyNumberFormat="1" applyFill="1" applyBorder="1" applyAlignment="1">
      <alignment horizontal="center" vertical="center"/>
    </xf>
    <xf numFmtId="1" fontId="0" fillId="0" borderId="7" xfId="0" applyNumberFormat="1" applyFill="1" applyBorder="1" applyAlignment="1">
      <alignment horizontal="center" vertical="center"/>
    </xf>
    <xf numFmtId="4" fontId="0" fillId="0" borderId="7" xfId="0" applyNumberFormat="1" applyFill="1" applyBorder="1" applyAlignment="1">
      <alignment horizontal="center" vertical="center"/>
    </xf>
    <xf numFmtId="0" fontId="0" fillId="0" borderId="58" xfId="0" applyFont="1" applyBorder="1" applyAlignment="1">
      <alignment horizontal="center" vertical="center" wrapText="1"/>
    </xf>
    <xf numFmtId="2" fontId="0" fillId="0" borderId="37" xfId="0" applyNumberFormat="1" applyBorder="1"/>
    <xf numFmtId="2" fontId="0" fillId="9" borderId="22" xfId="0" applyNumberFormat="1" applyFill="1" applyBorder="1"/>
    <xf numFmtId="170" fontId="0" fillId="0" borderId="1" xfId="0" applyNumberFormat="1" applyBorder="1"/>
    <xf numFmtId="170" fontId="0" fillId="0" borderId="0" xfId="0" applyNumberFormat="1"/>
    <xf numFmtId="0" fontId="3" fillId="0" borderId="0" xfId="0" applyFont="1" applyAlignment="1">
      <alignment horizontal="left" vertical="center"/>
    </xf>
    <xf numFmtId="1" fontId="0" fillId="0" borderId="6" xfId="0" applyNumberFormat="1" applyFill="1" applyBorder="1" applyAlignment="1">
      <alignment vertical="center"/>
    </xf>
    <xf numFmtId="0" fontId="3" fillId="0" borderId="65" xfId="0" applyFont="1" applyFill="1" applyBorder="1" applyAlignment="1">
      <alignment horizontal="left"/>
    </xf>
    <xf numFmtId="1" fontId="0" fillId="0" borderId="17" xfId="0" applyNumberFormat="1" applyFill="1" applyBorder="1" applyAlignment="1">
      <alignment vertical="center"/>
    </xf>
    <xf numFmtId="1" fontId="0" fillId="0" borderId="43" xfId="0" applyNumberFormat="1" applyFill="1" applyBorder="1" applyAlignment="1">
      <alignment vertical="center"/>
    </xf>
    <xf numFmtId="1" fontId="3" fillId="0" borderId="11" xfId="0" applyNumberFormat="1" applyFont="1" applyFill="1" applyBorder="1" applyAlignment="1">
      <alignment horizontal="center" vertical="center"/>
    </xf>
    <xf numFmtId="4" fontId="0" fillId="0" borderId="29" xfId="0" applyNumberFormat="1" applyBorder="1" applyAlignment="1">
      <alignment horizontal="center" vertical="center"/>
    </xf>
    <xf numFmtId="4" fontId="0" fillId="0" borderId="24" xfId="0" applyNumberFormat="1" applyBorder="1" applyAlignment="1">
      <alignment horizontal="center" vertical="center"/>
    </xf>
    <xf numFmtId="1" fontId="3" fillId="0" borderId="0" xfId="0" applyNumberFormat="1" applyFont="1" applyFill="1" applyBorder="1" applyAlignment="1">
      <alignment horizontal="center" vertical="center"/>
    </xf>
    <xf numFmtId="4" fontId="0" fillId="0" borderId="24" xfId="0" applyNumberFormat="1" applyFont="1" applyFill="1" applyBorder="1" applyAlignment="1">
      <alignment horizontal="center" vertical="center"/>
    </xf>
    <xf numFmtId="4" fontId="0" fillId="0" borderId="26" xfId="0" applyNumberFormat="1" applyFont="1" applyFill="1" applyBorder="1" applyAlignment="1">
      <alignment horizontal="center" vertical="center"/>
    </xf>
    <xf numFmtId="4" fontId="0" fillId="0" borderId="22" xfId="0" applyNumberFormat="1" applyFont="1" applyFill="1" applyBorder="1" applyAlignment="1">
      <alignment horizontal="center" vertical="center"/>
    </xf>
    <xf numFmtId="12" fontId="0" fillId="0" borderId="0" xfId="0" applyNumberFormat="1" applyFill="1" applyBorder="1" applyAlignment="1">
      <alignment horizontal="center" vertical="center"/>
    </xf>
    <xf numFmtId="165" fontId="0" fillId="0" borderId="2" xfId="0" applyNumberFormat="1" applyFill="1" applyBorder="1" applyAlignment="1">
      <alignment horizontal="center" vertical="center"/>
    </xf>
    <xf numFmtId="1" fontId="0" fillId="0" borderId="49" xfId="0" applyNumberFormat="1" applyFill="1" applyBorder="1" applyAlignment="1">
      <alignment horizontal="center" vertical="center"/>
    </xf>
    <xf numFmtId="0" fontId="0" fillId="0" borderId="1" xfId="0" applyFill="1" applyBorder="1" applyAlignment="1">
      <alignment horizontal="center"/>
    </xf>
    <xf numFmtId="0" fontId="3" fillId="0" borderId="0" xfId="0" applyFont="1" applyFill="1" applyBorder="1" applyAlignment="1">
      <alignment horizontal="center" vertical="center"/>
    </xf>
    <xf numFmtId="0" fontId="0" fillId="0" borderId="1" xfId="0" applyBorder="1" applyAlignment="1">
      <alignment horizontal="center" vertical="center"/>
    </xf>
    <xf numFmtId="0" fontId="0" fillId="11" borderId="1" xfId="0" applyFill="1" applyBorder="1" applyAlignment="1">
      <alignment horizontal="center" vertical="center"/>
    </xf>
    <xf numFmtId="0" fontId="0" fillId="0" borderId="1" xfId="0" applyFill="1" applyBorder="1" applyAlignment="1">
      <alignment horizontal="center" vertical="center"/>
    </xf>
    <xf numFmtId="1" fontId="0" fillId="0" borderId="1" xfId="0" applyNumberFormat="1" applyFill="1" applyBorder="1" applyAlignment="1">
      <alignment horizontal="center" vertical="center"/>
    </xf>
    <xf numFmtId="4" fontId="0" fillId="0" borderId="7" xfId="0" applyNumberFormat="1" applyFill="1" applyBorder="1" applyAlignment="1">
      <alignment horizontal="center" vertical="center"/>
    </xf>
    <xf numFmtId="0" fontId="0" fillId="0" borderId="0" xfId="0" applyAlignment="1">
      <alignment horizontal="center" vertical="center"/>
    </xf>
    <xf numFmtId="1" fontId="0" fillId="0" borderId="9" xfId="0" applyNumberFormat="1" applyFill="1" applyBorder="1" applyAlignment="1">
      <alignment horizontal="center" vertical="center"/>
    </xf>
    <xf numFmtId="1" fontId="0" fillId="0" borderId="49" xfId="0" applyNumberFormat="1" applyFill="1" applyBorder="1" applyAlignment="1">
      <alignment horizontal="center" vertical="center"/>
    </xf>
    <xf numFmtId="0" fontId="3" fillId="0" borderId="0" xfId="0" applyFont="1" applyBorder="1" applyAlignment="1">
      <alignment horizontal="center" vertical="center"/>
    </xf>
    <xf numFmtId="0" fontId="0" fillId="0" borderId="1" xfId="0" applyBorder="1" applyAlignment="1">
      <alignment horizontal="center" vertical="center"/>
    </xf>
    <xf numFmtId="0" fontId="0" fillId="11" borderId="1" xfId="0" applyFill="1" applyBorder="1" applyAlignment="1">
      <alignment horizontal="center" vertical="center"/>
    </xf>
    <xf numFmtId="1" fontId="0" fillId="0" borderId="36" xfId="0" applyNumberFormat="1" applyFill="1" applyBorder="1" applyAlignment="1">
      <alignment horizontal="center" vertical="center"/>
    </xf>
    <xf numFmtId="0" fontId="0" fillId="0" borderId="1" xfId="0" applyFill="1" applyBorder="1" applyAlignment="1">
      <alignment horizontal="center" vertical="center"/>
    </xf>
    <xf numFmtId="0" fontId="3" fillId="0" borderId="0" xfId="0" applyFont="1" applyFill="1" applyBorder="1" applyAlignment="1">
      <alignment horizontal="center" vertical="center"/>
    </xf>
    <xf numFmtId="0" fontId="0" fillId="0" borderId="1" xfId="0" applyFill="1" applyBorder="1" applyAlignment="1">
      <alignment horizontal="center"/>
    </xf>
    <xf numFmtId="1" fontId="0" fillId="0" borderId="2"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4" fontId="0" fillId="0" borderId="7" xfId="0" applyNumberFormat="1" applyFill="1" applyBorder="1" applyAlignment="1">
      <alignment horizontal="center" vertical="center"/>
    </xf>
    <xf numFmtId="0" fontId="12" fillId="0" borderId="34" xfId="0" applyFont="1" applyFill="1" applyBorder="1" applyAlignment="1">
      <alignment horizontal="center" vertical="center" wrapText="1"/>
    </xf>
    <xf numFmtId="0" fontId="0" fillId="0" borderId="51" xfId="0" applyFill="1" applyBorder="1"/>
    <xf numFmtId="0" fontId="0" fillId="0" borderId="52" xfId="0" applyFill="1" applyBorder="1"/>
    <xf numFmtId="0" fontId="0" fillId="0" borderId="44" xfId="0" applyFill="1" applyBorder="1" applyAlignment="1">
      <alignment horizontal="center" vertical="center"/>
    </xf>
    <xf numFmtId="0" fontId="0" fillId="0" borderId="32" xfId="0" applyFill="1" applyBorder="1" applyAlignment="1">
      <alignment horizontal="center" vertical="center"/>
    </xf>
    <xf numFmtId="0" fontId="0" fillId="0" borderId="58" xfId="0" applyFill="1" applyBorder="1" applyAlignment="1">
      <alignment horizontal="center" vertical="center"/>
    </xf>
    <xf numFmtId="0" fontId="0" fillId="0" borderId="37" xfId="0" applyNumberFormat="1" applyFill="1" applyBorder="1" applyAlignment="1">
      <alignment horizontal="center" vertical="center"/>
    </xf>
    <xf numFmtId="0" fontId="0" fillId="0" borderId="37" xfId="0" applyFill="1" applyBorder="1" applyAlignment="1">
      <alignment horizontal="center" vertical="center"/>
    </xf>
    <xf numFmtId="3" fontId="0" fillId="0" borderId="22" xfId="0" applyNumberFormat="1" applyFill="1" applyBorder="1" applyAlignment="1">
      <alignment horizontal="center" vertical="center"/>
    </xf>
    <xf numFmtId="0" fontId="0" fillId="0" borderId="2" xfId="0" applyFill="1" applyBorder="1" applyAlignment="1">
      <alignment horizontal="center" vertical="center"/>
    </xf>
    <xf numFmtId="3" fontId="0" fillId="0" borderId="16" xfId="0" applyNumberFormat="1" applyFill="1" applyBorder="1" applyAlignment="1">
      <alignment horizontal="center" vertical="center"/>
    </xf>
    <xf numFmtId="0" fontId="0" fillId="0" borderId="49" xfId="0" applyFill="1" applyBorder="1" applyAlignment="1">
      <alignment horizontal="center" vertical="center"/>
    </xf>
    <xf numFmtId="0" fontId="3" fillId="0" borderId="0" xfId="0" applyFont="1" applyFill="1" applyAlignment="1">
      <alignment horizontal="center" vertical="center"/>
    </xf>
    <xf numFmtId="4" fontId="0" fillId="0" borderId="5" xfId="0" applyNumberFormat="1" applyBorder="1"/>
    <xf numFmtId="4" fontId="0" fillId="0" borderId="15" xfId="0" applyNumberFormat="1" applyBorder="1"/>
    <xf numFmtId="0" fontId="11" fillId="3" borderId="1" xfId="0" applyFont="1" applyFill="1" applyBorder="1"/>
    <xf numFmtId="0" fontId="7" fillId="0" borderId="47" xfId="0" applyFont="1" applyBorder="1" applyAlignment="1">
      <alignment vertical="center"/>
    </xf>
    <xf numFmtId="0" fontId="7" fillId="0" borderId="49" xfId="0" applyFont="1" applyBorder="1" applyAlignment="1">
      <alignment vertical="center"/>
    </xf>
    <xf numFmtId="0" fontId="6" fillId="0" borderId="69" xfId="0" applyFont="1" applyBorder="1" applyAlignment="1">
      <alignment horizontal="center" vertical="center"/>
    </xf>
    <xf numFmtId="4" fontId="6" fillId="0" borderId="45" xfId="0" applyNumberFormat="1" applyFont="1" applyBorder="1" applyAlignment="1">
      <alignment vertical="center"/>
    </xf>
    <xf numFmtId="4" fontId="6" fillId="0" borderId="69" xfId="0" applyNumberFormat="1" applyFont="1" applyFill="1" applyBorder="1" applyAlignment="1">
      <alignment vertical="center"/>
    </xf>
    <xf numFmtId="4" fontId="6" fillId="0" borderId="69" xfId="0" applyNumberFormat="1" applyFont="1" applyBorder="1" applyAlignment="1">
      <alignment vertical="center"/>
    </xf>
    <xf numFmtId="0" fontId="7" fillId="0" borderId="35" xfId="0" applyFont="1" applyBorder="1" applyAlignment="1">
      <alignment vertical="center"/>
    </xf>
    <xf numFmtId="0" fontId="7" fillId="0" borderId="32" xfId="0" applyFont="1" applyBorder="1" applyAlignment="1">
      <alignment vertical="center"/>
    </xf>
    <xf numFmtId="0" fontId="0" fillId="0" borderId="70" xfId="0" applyBorder="1" applyAlignment="1">
      <alignment horizontal="center" vertical="center"/>
    </xf>
    <xf numFmtId="4" fontId="6" fillId="0" borderId="70" xfId="0" applyNumberFormat="1" applyFont="1" applyBorder="1" applyAlignment="1">
      <alignment vertical="center"/>
    </xf>
    <xf numFmtId="4" fontId="0" fillId="0" borderId="1" xfId="0" applyNumberFormat="1" applyFill="1" applyBorder="1" applyAlignment="1">
      <alignment horizontal="left"/>
    </xf>
    <xf numFmtId="0" fontId="0" fillId="0" borderId="56" xfId="0" applyFill="1" applyBorder="1" applyAlignment="1">
      <alignment horizontal="center" vertical="center"/>
    </xf>
    <xf numFmtId="0" fontId="0" fillId="0" borderId="66" xfId="0" applyFill="1" applyBorder="1" applyAlignment="1">
      <alignment horizontal="center" vertical="center"/>
    </xf>
    <xf numFmtId="0" fontId="0" fillId="0" borderId="57" xfId="0" applyFill="1" applyBorder="1" applyAlignment="1">
      <alignment horizontal="center" vertical="center"/>
    </xf>
    <xf numFmtId="0" fontId="0" fillId="0" borderId="49" xfId="0" applyFill="1" applyBorder="1" applyAlignment="1">
      <alignment horizontal="center"/>
    </xf>
    <xf numFmtId="0" fontId="0" fillId="0" borderId="10" xfId="0" applyFill="1" applyBorder="1"/>
    <xf numFmtId="0" fontId="0" fillId="0" borderId="13" xfId="0" applyFill="1" applyBorder="1"/>
    <xf numFmtId="0" fontId="0" fillId="0" borderId="50" xfId="0" applyFill="1" applyBorder="1"/>
    <xf numFmtId="0" fontId="3" fillId="0" borderId="0" xfId="0" applyFont="1" applyFill="1" applyBorder="1"/>
    <xf numFmtId="0" fontId="0" fillId="0" borderId="8" xfId="0" applyFill="1" applyBorder="1" applyAlignment="1">
      <alignment horizontal="center" vertical="center"/>
    </xf>
    <xf numFmtId="0" fontId="0" fillId="0" borderId="33" xfId="0" applyNumberFormat="1" applyFill="1" applyBorder="1" applyAlignment="1">
      <alignment horizontal="center" vertical="center"/>
    </xf>
    <xf numFmtId="0" fontId="0" fillId="0" borderId="4" xfId="0" applyFill="1" applyBorder="1" applyAlignment="1">
      <alignment vertical="center"/>
    </xf>
    <xf numFmtId="0" fontId="0" fillId="0" borderId="39" xfId="0" applyFill="1" applyBorder="1" applyAlignment="1">
      <alignment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1" fontId="0" fillId="0" borderId="52" xfId="0" applyNumberFormat="1" applyFill="1" applyBorder="1" applyAlignment="1">
      <alignment horizontal="center" vertical="center"/>
    </xf>
    <xf numFmtId="1" fontId="0" fillId="0" borderId="51" xfId="0" applyNumberFormat="1" applyFill="1" applyBorder="1" applyAlignment="1">
      <alignment horizontal="center" vertical="center"/>
    </xf>
    <xf numFmtId="4" fontId="0" fillId="0" borderId="34" xfId="0" applyNumberFormat="1" applyFill="1" applyBorder="1" applyAlignment="1">
      <alignment horizontal="center" vertical="center"/>
    </xf>
    <xf numFmtId="4" fontId="0" fillId="0" borderId="1" xfId="0" applyNumberFormat="1" applyFill="1" applyBorder="1"/>
    <xf numFmtId="4" fontId="0" fillId="0" borderId="33" xfId="0" applyNumberFormat="1" applyFill="1" applyBorder="1"/>
    <xf numFmtId="0" fontId="0" fillId="17" borderId="22" xfId="0" applyFill="1" applyBorder="1" applyAlignment="1">
      <alignment horizontal="center" vertical="center"/>
    </xf>
    <xf numFmtId="0" fontId="0" fillId="17" borderId="22" xfId="0" applyFill="1" applyBorder="1"/>
    <xf numFmtId="0" fontId="0" fillId="17" borderId="58" xfId="0" applyFill="1" applyBorder="1" applyAlignment="1">
      <alignment horizontal="center" vertical="center"/>
    </xf>
    <xf numFmtId="0" fontId="0" fillId="17" borderId="37" xfId="0" applyFill="1" applyBorder="1" applyAlignment="1">
      <alignment horizontal="center" vertical="center"/>
    </xf>
    <xf numFmtId="0" fontId="0" fillId="17" borderId="68" xfId="0" applyFill="1" applyBorder="1" applyAlignment="1">
      <alignment horizontal="center" vertical="center"/>
    </xf>
    <xf numFmtId="0" fontId="0" fillId="17" borderId="56" xfId="0" applyFill="1" applyBorder="1" applyAlignment="1">
      <alignment horizontal="center" vertical="center"/>
    </xf>
    <xf numFmtId="0" fontId="0" fillId="17" borderId="57" xfId="0" applyFill="1" applyBorder="1"/>
    <xf numFmtId="4" fontId="0" fillId="0" borderId="51" xfId="0" applyNumberFormat="1" applyFill="1" applyBorder="1" applyAlignment="1">
      <alignment vertical="center"/>
    </xf>
    <xf numFmtId="4" fontId="0" fillId="0" borderId="52" xfId="0" applyNumberFormat="1" applyFill="1" applyBorder="1"/>
    <xf numFmtId="4" fontId="0" fillId="15" borderId="34" xfId="0" applyNumberFormat="1" applyFill="1" applyBorder="1" applyAlignment="1"/>
    <xf numFmtId="3" fontId="0" fillId="0" borderId="52" xfId="0" applyNumberFormat="1" applyFill="1" applyBorder="1"/>
    <xf numFmtId="4" fontId="0" fillId="0" borderId="68" xfId="0" applyNumberFormat="1" applyFill="1" applyBorder="1" applyAlignment="1">
      <alignment vertical="center"/>
    </xf>
    <xf numFmtId="0" fontId="0" fillId="17" borderId="0" xfId="0" applyFill="1" applyAlignment="1">
      <alignment horizontal="right" vertical="center"/>
    </xf>
    <xf numFmtId="4" fontId="3" fillId="17" borderId="52" xfId="0" applyNumberFormat="1" applyFont="1" applyFill="1" applyBorder="1"/>
    <xf numFmtId="1" fontId="0" fillId="0" borderId="49" xfId="0" applyNumberForma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right" vertical="center"/>
    </xf>
    <xf numFmtId="0" fontId="3" fillId="0" borderId="0" xfId="0" applyFont="1" applyBorder="1" applyAlignment="1">
      <alignment horizontal="center" vertical="center"/>
    </xf>
    <xf numFmtId="0" fontId="0" fillId="0" borderId="1" xfId="0" applyBorder="1" applyAlignment="1">
      <alignment horizontal="center" vertical="center"/>
    </xf>
    <xf numFmtId="0" fontId="0" fillId="11" borderId="1" xfId="0" applyFill="1" applyBorder="1" applyAlignment="1">
      <alignment horizontal="center" vertical="center"/>
    </xf>
    <xf numFmtId="0" fontId="0" fillId="0" borderId="31" xfId="0" applyBorder="1" applyAlignment="1">
      <alignment horizontal="center" vertical="center"/>
    </xf>
    <xf numFmtId="0" fontId="3" fillId="0" borderId="0" xfId="0" applyFont="1" applyFill="1" applyBorder="1" applyAlignment="1">
      <alignment horizontal="center" vertical="center"/>
    </xf>
    <xf numFmtId="1" fontId="0" fillId="0" borderId="11" xfId="0" applyNumberFormat="1" applyFill="1" applyBorder="1" applyAlignment="1">
      <alignment horizontal="center" vertical="center"/>
    </xf>
    <xf numFmtId="4" fontId="0" fillId="0" borderId="36" xfId="0" applyNumberFormat="1" applyFill="1" applyBorder="1" applyAlignment="1">
      <alignment horizontal="center" vertical="center"/>
    </xf>
    <xf numFmtId="1" fontId="0" fillId="0" borderId="36" xfId="0" applyNumberFormat="1" applyFill="1" applyBorder="1" applyAlignment="1">
      <alignment horizontal="center" vertical="center"/>
    </xf>
    <xf numFmtId="0" fontId="0" fillId="0" borderId="1" xfId="0" applyFill="1" applyBorder="1" applyAlignment="1">
      <alignment horizontal="center" vertical="center"/>
    </xf>
    <xf numFmtId="4" fontId="0" fillId="0" borderId="25" xfId="0" applyNumberFormat="1" applyFill="1" applyBorder="1" applyAlignment="1">
      <alignment horizontal="center" vertical="center"/>
    </xf>
    <xf numFmtId="1" fontId="0" fillId="0" borderId="56"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4" fontId="0" fillId="0" borderId="7" xfId="0" applyNumberFormat="1" applyFill="1" applyBorder="1" applyAlignment="1">
      <alignment horizontal="center" vertical="center"/>
    </xf>
    <xf numFmtId="0" fontId="0" fillId="0" borderId="2" xfId="0" applyFill="1" applyBorder="1" applyAlignment="1">
      <alignment horizontal="center" vertical="center"/>
    </xf>
    <xf numFmtId="0" fontId="0" fillId="0" borderId="13" xfId="0" applyFill="1" applyBorder="1" applyAlignment="1">
      <alignment horizontal="center"/>
    </xf>
    <xf numFmtId="0" fontId="3" fillId="0" borderId="1" xfId="0" applyFont="1" applyBorder="1"/>
    <xf numFmtId="4" fontId="0" fillId="0" borderId="7" xfId="0" applyNumberFormat="1" applyFill="1" applyBorder="1" applyAlignment="1">
      <alignment horizontal="right" vertical="center"/>
    </xf>
    <xf numFmtId="4" fontId="0" fillId="0" borderId="36" xfId="0" applyNumberFormat="1" applyFill="1" applyBorder="1" applyAlignment="1">
      <alignment horizontal="right" vertical="center"/>
    </xf>
    <xf numFmtId="3" fontId="0" fillId="0" borderId="16" xfId="0" applyNumberFormat="1" applyFill="1" applyBorder="1" applyAlignment="1">
      <alignment horizontal="right" vertical="center"/>
    </xf>
    <xf numFmtId="0" fontId="0" fillId="0" borderId="17" xfId="0" applyFill="1" applyBorder="1"/>
    <xf numFmtId="0" fontId="0" fillId="0" borderId="62" xfId="0" applyFill="1" applyBorder="1" applyAlignment="1">
      <alignment horizontal="center" vertical="center"/>
    </xf>
    <xf numFmtId="0" fontId="0" fillId="0" borderId="11" xfId="0" applyNumberFormat="1" applyFill="1" applyBorder="1" applyAlignment="1">
      <alignment horizontal="center" vertical="center"/>
    </xf>
    <xf numFmtId="0" fontId="0" fillId="0" borderId="71" xfId="0" applyFill="1" applyBorder="1"/>
    <xf numFmtId="0" fontId="0" fillId="0" borderId="72" xfId="0" applyFill="1" applyBorder="1"/>
    <xf numFmtId="0" fontId="0" fillId="0" borderId="25" xfId="0" applyFill="1" applyBorder="1"/>
    <xf numFmtId="0" fontId="0" fillId="0" borderId="61" xfId="0" applyFill="1" applyBorder="1"/>
    <xf numFmtId="0" fontId="0" fillId="0" borderId="63" xfId="0" applyFill="1" applyBorder="1"/>
    <xf numFmtId="0" fontId="0" fillId="0" borderId="65" xfId="0" applyFill="1" applyBorder="1"/>
    <xf numFmtId="1" fontId="0" fillId="0" borderId="34" xfId="0" applyNumberFormat="1" applyFill="1" applyBorder="1" applyAlignment="1">
      <alignment horizontal="center" vertical="center"/>
    </xf>
    <xf numFmtId="0" fontId="0" fillId="3" borderId="1" xfId="0" applyFill="1" applyBorder="1" applyAlignment="1">
      <alignment horizontal="center" vertical="center"/>
    </xf>
    <xf numFmtId="4" fontId="0" fillId="8" borderId="1" xfId="0" applyNumberFormat="1" applyFill="1" applyBorder="1"/>
    <xf numFmtId="0" fontId="0" fillId="8" borderId="1" xfId="0" applyFill="1" applyBorder="1" applyAlignment="1">
      <alignment horizontal="center" vertical="center"/>
    </xf>
    <xf numFmtId="0" fontId="0" fillId="0" borderId="59" xfId="0" applyFill="1" applyBorder="1"/>
    <xf numFmtId="0" fontId="0" fillId="0" borderId="66" xfId="0" applyFill="1" applyBorder="1" applyAlignment="1">
      <alignment vertical="center"/>
    </xf>
    <xf numFmtId="0" fontId="0" fillId="0" borderId="67" xfId="0" applyFill="1" applyBorder="1" applyAlignment="1">
      <alignment vertical="center"/>
    </xf>
    <xf numFmtId="0" fontId="0" fillId="0" borderId="40" xfId="0" applyFill="1" applyBorder="1" applyAlignment="1">
      <alignment vertical="center"/>
    </xf>
    <xf numFmtId="0" fontId="0" fillId="0" borderId="41" xfId="0" applyFill="1" applyBorder="1" applyAlignment="1">
      <alignment vertical="center"/>
    </xf>
    <xf numFmtId="1" fontId="0" fillId="0" borderId="7" xfId="0" applyNumberFormat="1" applyFill="1" applyBorder="1" applyAlignment="1">
      <alignment horizontal="center" vertical="center"/>
    </xf>
    <xf numFmtId="0" fontId="0" fillId="0" borderId="2" xfId="0" applyFill="1" applyBorder="1" applyAlignment="1">
      <alignment horizontal="center" vertical="center"/>
    </xf>
    <xf numFmtId="4" fontId="5" fillId="0" borderId="1" xfId="0" applyNumberFormat="1" applyFont="1" applyBorder="1" applyAlignment="1">
      <alignment vertical="center" wrapText="1"/>
    </xf>
    <xf numFmtId="2" fontId="0" fillId="0" borderId="73" xfId="0" applyNumberFormat="1" applyBorder="1" applyAlignment="1">
      <alignment vertical="center"/>
    </xf>
    <xf numFmtId="2" fontId="0" fillId="0" borderId="55" xfId="0" applyNumberFormat="1" applyBorder="1" applyAlignment="1">
      <alignment vertical="center"/>
    </xf>
    <xf numFmtId="2" fontId="0" fillId="0" borderId="46" xfId="0" applyNumberFormat="1" applyBorder="1" applyAlignment="1">
      <alignment vertical="center"/>
    </xf>
    <xf numFmtId="4" fontId="5" fillId="0" borderId="0" xfId="0" applyNumberFormat="1" applyFont="1" applyAlignment="1">
      <alignment vertical="center" wrapText="1"/>
    </xf>
    <xf numFmtId="1" fontId="0" fillId="0" borderId="62" xfId="0" applyNumberFormat="1" applyFill="1" applyBorder="1" applyAlignment="1">
      <alignment horizontal="center" vertical="center"/>
    </xf>
    <xf numFmtId="1" fontId="0" fillId="0" borderId="0" xfId="0" applyNumberFormat="1" applyFill="1" applyBorder="1" applyAlignment="1">
      <alignment horizontal="center" vertical="center"/>
    </xf>
    <xf numFmtId="1" fontId="0" fillId="0" borderId="39" xfId="0" applyNumberFormat="1" applyFill="1" applyBorder="1" applyAlignment="1">
      <alignment horizontal="center" vertical="center"/>
    </xf>
    <xf numFmtId="1" fontId="0" fillId="0" borderId="11" xfId="0" applyNumberFormat="1" applyFill="1" applyBorder="1" applyAlignment="1">
      <alignment horizontal="center" vertical="center"/>
    </xf>
    <xf numFmtId="4" fontId="0" fillId="0" borderId="36" xfId="0" applyNumberFormat="1" applyFill="1" applyBorder="1" applyAlignment="1">
      <alignment horizontal="center" vertical="center"/>
    </xf>
    <xf numFmtId="1" fontId="0" fillId="0" borderId="36" xfId="0" applyNumberFormat="1" applyFill="1" applyBorder="1" applyAlignment="1">
      <alignment horizontal="center" vertical="center"/>
    </xf>
    <xf numFmtId="1" fontId="0" fillId="0" borderId="74" xfId="0" applyNumberFormat="1" applyFill="1" applyBorder="1" applyAlignment="1">
      <alignment horizontal="center" vertical="center"/>
    </xf>
    <xf numFmtId="1" fontId="0" fillId="0" borderId="33" xfId="0" applyNumberFormat="1" applyFill="1" applyBorder="1" applyAlignment="1">
      <alignment horizontal="center" vertical="center"/>
    </xf>
    <xf numFmtId="1" fontId="0" fillId="0" borderId="16" xfId="0" applyNumberFormat="1" applyFill="1" applyBorder="1" applyAlignment="1">
      <alignment horizontal="center" vertical="center"/>
    </xf>
    <xf numFmtId="1" fontId="0" fillId="0" borderId="36" xfId="0" applyNumberFormat="1" applyFill="1" applyBorder="1" applyAlignment="1">
      <alignment vertical="center"/>
    </xf>
    <xf numFmtId="0" fontId="0" fillId="0" borderId="62" xfId="0" applyBorder="1"/>
    <xf numFmtId="2" fontId="0" fillId="0" borderId="79" xfId="0" applyNumberFormat="1" applyBorder="1" applyAlignment="1">
      <alignment vertical="center"/>
    </xf>
    <xf numFmtId="2" fontId="0" fillId="3" borderId="79" xfId="0" applyNumberFormat="1" applyFill="1" applyBorder="1" applyAlignment="1">
      <alignment vertical="center"/>
    </xf>
    <xf numFmtId="2" fontId="0" fillId="14" borderId="79" xfId="0" applyNumberFormat="1" applyFill="1" applyBorder="1" applyAlignment="1">
      <alignment vertical="center"/>
    </xf>
    <xf numFmtId="0" fontId="0" fillId="13" borderId="0" xfId="0" applyFill="1"/>
    <xf numFmtId="0" fontId="0" fillId="0" borderId="0" xfId="0" applyAlignment="1">
      <alignment horizontal="center" vertical="center"/>
    </xf>
    <xf numFmtId="1" fontId="0" fillId="0" borderId="0" xfId="0" applyNumberForma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center" vertical="center"/>
    </xf>
    <xf numFmtId="1" fontId="0" fillId="0" borderId="0" xfId="0" applyNumberFormat="1" applyBorder="1" applyAlignment="1">
      <alignment horizontal="center" vertical="center"/>
    </xf>
    <xf numFmtId="1" fontId="0" fillId="0" borderId="4" xfId="0" applyNumberFormat="1" applyFill="1" applyBorder="1" applyAlignment="1">
      <alignment horizontal="center" vertical="center"/>
    </xf>
    <xf numFmtId="1" fontId="0" fillId="0" borderId="44" xfId="0" applyNumberFormat="1" applyFill="1" applyBorder="1" applyAlignment="1">
      <alignment horizontal="center" vertical="center"/>
    </xf>
    <xf numFmtId="1" fontId="0" fillId="0" borderId="0" xfId="0" applyNumberFormat="1" applyFill="1" applyBorder="1" applyAlignment="1">
      <alignment horizontal="center" vertical="center"/>
    </xf>
    <xf numFmtId="0" fontId="3" fillId="0" borderId="0" xfId="0" applyFont="1" applyBorder="1" applyAlignment="1">
      <alignment horizontal="center" vertical="center"/>
    </xf>
    <xf numFmtId="4" fontId="0" fillId="0" borderId="6" xfId="0" applyNumberFormat="1" applyFill="1" applyBorder="1" applyAlignment="1">
      <alignment horizontal="left" vertical="center"/>
    </xf>
    <xf numFmtId="4" fontId="0" fillId="0" borderId="24" xfId="0" applyNumberFormat="1" applyFill="1" applyBorder="1" applyAlignment="1">
      <alignment horizontal="left" vertical="center"/>
    </xf>
    <xf numFmtId="0" fontId="6" fillId="0" borderId="47" xfId="0" applyFont="1" applyFill="1" applyBorder="1" applyAlignment="1">
      <alignment horizontal="right" vertical="center"/>
    </xf>
    <xf numFmtId="0" fontId="6" fillId="0" borderId="49" xfId="0" applyFont="1" applyFill="1" applyBorder="1" applyAlignment="1">
      <alignment horizontal="right" vertical="center"/>
    </xf>
    <xf numFmtId="0" fontId="0" fillId="0" borderId="0" xfId="0" applyAlignment="1">
      <alignment horizontal="center" vertical="center"/>
    </xf>
    <xf numFmtId="1" fontId="0" fillId="0" borderId="49" xfId="0" applyNumberFormat="1" applyFill="1" applyBorder="1" applyAlignment="1">
      <alignment horizontal="center" vertical="center"/>
    </xf>
    <xf numFmtId="1" fontId="0" fillId="0" borderId="2" xfId="0" applyNumberFormat="1" applyFill="1" applyBorder="1" applyAlignment="1">
      <alignment horizontal="center" vertical="center"/>
    </xf>
    <xf numFmtId="1" fontId="0" fillId="0" borderId="62" xfId="0" applyNumberFormat="1" applyFill="1" applyBorder="1" applyAlignment="1">
      <alignment horizontal="center" vertical="center"/>
    </xf>
    <xf numFmtId="1" fontId="0" fillId="0" borderId="59" xfId="0" applyNumberFormat="1" applyFont="1" applyFill="1" applyBorder="1" applyAlignment="1">
      <alignment horizontal="center" vertical="center"/>
    </xf>
    <xf numFmtId="0" fontId="0" fillId="0" borderId="1" xfId="0" applyFill="1" applyBorder="1" applyAlignment="1">
      <alignment horizontal="center"/>
    </xf>
    <xf numFmtId="1" fontId="0" fillId="0" borderId="10" xfId="0" applyNumberFormat="1" applyFont="1" applyFill="1" applyBorder="1" applyAlignment="1">
      <alignment horizontal="center" vertical="center"/>
    </xf>
    <xf numFmtId="1" fontId="0" fillId="0" borderId="11" xfId="0" applyNumberFormat="1" applyFill="1" applyBorder="1" applyAlignment="1">
      <alignment horizontal="center" vertical="center"/>
    </xf>
    <xf numFmtId="1" fontId="0" fillId="0" borderId="36" xfId="0" applyNumberFormat="1" applyFill="1" applyBorder="1" applyAlignment="1">
      <alignment horizontal="center" vertical="center"/>
    </xf>
    <xf numFmtId="0" fontId="3" fillId="0" borderId="0" xfId="0" applyFont="1" applyFill="1" applyBorder="1" applyAlignment="1">
      <alignment horizontal="center" vertical="center"/>
    </xf>
    <xf numFmtId="4" fontId="0" fillId="0" borderId="36" xfId="0" applyNumberFormat="1" applyFill="1" applyBorder="1" applyAlignment="1">
      <alignment horizontal="center" vertical="center"/>
    </xf>
    <xf numFmtId="0" fontId="0" fillId="0" borderId="1" xfId="0" applyBorder="1" applyAlignment="1">
      <alignment horizontal="center" vertical="center"/>
    </xf>
    <xf numFmtId="0" fontId="0" fillId="11" borderId="1" xfId="0" applyFill="1" applyBorder="1" applyAlignment="1">
      <alignment horizontal="center" vertical="center"/>
    </xf>
    <xf numFmtId="1" fontId="0" fillId="0" borderId="1" xfId="0" applyNumberFormat="1" applyFill="1" applyBorder="1" applyAlignment="1">
      <alignment horizontal="center" vertical="center"/>
    </xf>
    <xf numFmtId="4" fontId="0" fillId="0" borderId="7" xfId="0" applyNumberFormat="1" applyFill="1" applyBorder="1" applyAlignment="1">
      <alignment horizontal="center" vertical="center"/>
    </xf>
    <xf numFmtId="1" fontId="0" fillId="0" borderId="7" xfId="0" applyNumberFormat="1" applyFill="1" applyBorder="1" applyAlignment="1">
      <alignment horizontal="center" vertical="center"/>
    </xf>
    <xf numFmtId="0" fontId="3" fillId="0" borderId="38" xfId="0" applyFont="1" applyFill="1" applyBorder="1" applyAlignment="1">
      <alignment horizontal="center"/>
    </xf>
    <xf numFmtId="0" fontId="3" fillId="0" borderId="39" xfId="0" applyFont="1" applyFill="1" applyBorder="1" applyAlignment="1">
      <alignment horizontal="center"/>
    </xf>
    <xf numFmtId="4" fontId="0" fillId="0" borderId="26" xfId="0" applyNumberFormat="1" applyFill="1" applyBorder="1" applyAlignment="1">
      <alignment horizontal="left" vertical="center"/>
    </xf>
    <xf numFmtId="0" fontId="0" fillId="0" borderId="0" xfId="0" applyAlignment="1">
      <alignment horizont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47" xfId="0" applyFont="1" applyFill="1" applyBorder="1" applyAlignment="1">
      <alignment horizontal="right" vertical="center"/>
    </xf>
    <xf numFmtId="0" fontId="3" fillId="0" borderId="9" xfId="0" applyFont="1" applyFill="1" applyBorder="1" applyAlignment="1">
      <alignment horizontal="right" vertical="center"/>
    </xf>
    <xf numFmtId="0" fontId="0" fillId="0" borderId="47" xfId="0" applyFill="1" applyBorder="1" applyAlignment="1">
      <alignment horizontal="right" vertical="center"/>
    </xf>
    <xf numFmtId="0" fontId="0" fillId="0" borderId="9" xfId="0" applyFill="1" applyBorder="1" applyAlignment="1">
      <alignment horizontal="right" vertical="center"/>
    </xf>
    <xf numFmtId="0" fontId="3" fillId="0" borderId="42" xfId="0" applyFont="1" applyFill="1" applyBorder="1" applyAlignment="1">
      <alignment horizontal="right" vertical="center"/>
    </xf>
    <xf numFmtId="0" fontId="3" fillId="0" borderId="48" xfId="0" applyFont="1" applyFill="1" applyBorder="1" applyAlignment="1">
      <alignment horizontal="right" vertical="center"/>
    </xf>
    <xf numFmtId="0" fontId="0" fillId="0" borderId="28" xfId="0" applyFill="1" applyBorder="1" applyAlignment="1">
      <alignment horizontal="center" vertical="center"/>
    </xf>
    <xf numFmtId="0" fontId="0" fillId="0" borderId="48" xfId="0" applyFill="1" applyBorder="1" applyAlignment="1">
      <alignment horizontal="center" vertical="center"/>
    </xf>
    <xf numFmtId="0" fontId="0" fillId="0" borderId="0" xfId="0" applyFill="1" applyBorder="1" applyAlignment="1">
      <alignment horizontal="center" vertical="center"/>
    </xf>
    <xf numFmtId="1" fontId="0" fillId="0" borderId="33" xfId="0" applyNumberFormat="1" applyFill="1" applyBorder="1" applyAlignment="1">
      <alignment horizontal="center" vertical="center"/>
    </xf>
    <xf numFmtId="1" fontId="0" fillId="0" borderId="16" xfId="0" applyNumberFormat="1" applyFill="1" applyBorder="1" applyAlignment="1">
      <alignment horizontal="center" vertical="center"/>
    </xf>
    <xf numFmtId="165" fontId="0" fillId="0" borderId="1" xfId="0" applyNumberFormat="1" applyFill="1" applyBorder="1" applyAlignment="1">
      <alignment horizontal="center" vertical="center"/>
    </xf>
    <xf numFmtId="0" fontId="0" fillId="18" borderId="0" xfId="0" applyFill="1" applyAlignment="1">
      <alignment horizontal="center" vertical="center"/>
    </xf>
    <xf numFmtId="165" fontId="3" fillId="0" borderId="1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165" fontId="3" fillId="0" borderId="37" xfId="0" applyNumberFormat="1" applyFont="1" applyFill="1" applyBorder="1" applyAlignment="1">
      <alignment horizontal="center" vertical="center"/>
    </xf>
    <xf numFmtId="1" fontId="0" fillId="0" borderId="58" xfId="0" applyNumberFormat="1" applyFill="1" applyBorder="1" applyAlignment="1">
      <alignment horizontal="center" vertical="center"/>
    </xf>
    <xf numFmtId="0" fontId="0" fillId="0" borderId="10" xfId="0" applyBorder="1" applyAlignment="1">
      <alignment horizontal="center" vertical="center"/>
    </xf>
    <xf numFmtId="0" fontId="3" fillId="0" borderId="3" xfId="0" applyFont="1" applyBorder="1" applyAlignment="1">
      <alignment vertical="center"/>
    </xf>
    <xf numFmtId="0" fontId="3" fillId="0" borderId="17" xfId="0" applyFont="1" applyFill="1" applyBorder="1" applyAlignment="1">
      <alignment vertical="center"/>
    </xf>
    <xf numFmtId="0" fontId="6" fillId="0" borderId="78" xfId="0" applyFont="1" applyFill="1" applyBorder="1" applyAlignment="1">
      <alignment horizontal="right" vertical="center"/>
    </xf>
    <xf numFmtId="0" fontId="6" fillId="0" borderId="60" xfId="0" applyFont="1" applyFill="1" applyBorder="1" applyAlignment="1">
      <alignment horizontal="right" vertical="center"/>
    </xf>
    <xf numFmtId="0" fontId="0" fillId="0" borderId="19" xfId="0" applyFill="1" applyBorder="1" applyAlignment="1">
      <alignment horizontal="right" vertical="center"/>
    </xf>
    <xf numFmtId="0" fontId="0" fillId="0" borderId="13" xfId="0" applyFill="1" applyBorder="1" applyAlignment="1">
      <alignment horizontal="center" vertical="center"/>
    </xf>
    <xf numFmtId="0" fontId="0" fillId="0" borderId="19" xfId="0" applyFill="1" applyBorder="1" applyAlignment="1">
      <alignment horizontal="center" vertical="center"/>
    </xf>
    <xf numFmtId="4" fontId="0" fillId="0" borderId="13" xfId="0" applyNumberFormat="1" applyFill="1" applyBorder="1" applyAlignment="1">
      <alignment horizontal="left" vertical="center"/>
    </xf>
    <xf numFmtId="4" fontId="0" fillId="0" borderId="83" xfId="0" applyNumberFormat="1" applyFill="1" applyBorder="1" applyAlignment="1">
      <alignment horizontal="left" vertical="center"/>
    </xf>
    <xf numFmtId="0" fontId="0" fillId="0" borderId="59" xfId="0" applyBorder="1" applyAlignment="1">
      <alignment vertical="center"/>
    </xf>
    <xf numFmtId="4" fontId="0" fillId="0" borderId="50" xfId="0" applyNumberFormat="1" applyBorder="1" applyAlignment="1">
      <alignment vertical="center"/>
    </xf>
    <xf numFmtId="1" fontId="0" fillId="0" borderId="28" xfId="0" applyNumberFormat="1" applyFill="1" applyBorder="1" applyAlignment="1">
      <alignment vertical="center"/>
    </xf>
    <xf numFmtId="4" fontId="3" fillId="0" borderId="0" xfId="0" applyNumberFormat="1" applyFont="1"/>
    <xf numFmtId="4" fontId="11" fillId="0" borderId="0" xfId="0" applyNumberFormat="1" applyFont="1"/>
    <xf numFmtId="4" fontId="0" fillId="0" borderId="6" xfId="0" applyNumberFormat="1" applyFill="1" applyBorder="1" applyAlignment="1">
      <alignment vertical="center"/>
    </xf>
    <xf numFmtId="4" fontId="0" fillId="0" borderId="24" xfId="0" applyNumberFormat="1" applyFill="1" applyBorder="1" applyAlignment="1">
      <alignment vertical="center"/>
    </xf>
    <xf numFmtId="4" fontId="0" fillId="0" borderId="61" xfId="0" applyNumberFormat="1" applyBorder="1" applyAlignment="1">
      <alignment vertical="center"/>
    </xf>
    <xf numFmtId="4" fontId="0" fillId="0" borderId="65" xfId="0" applyNumberFormat="1" applyBorder="1" applyAlignment="1">
      <alignment vertical="center"/>
    </xf>
    <xf numFmtId="0" fontId="6" fillId="0" borderId="47" xfId="0" applyFont="1" applyFill="1" applyBorder="1" applyAlignment="1">
      <alignment horizontal="right" vertical="center"/>
    </xf>
    <xf numFmtId="0" fontId="6" fillId="0" borderId="49" xfId="0" applyFont="1" applyFill="1" applyBorder="1" applyAlignment="1">
      <alignment horizontal="right" vertical="center"/>
    </xf>
    <xf numFmtId="4" fontId="0" fillId="0" borderId="6" xfId="0" applyNumberFormat="1" applyFill="1" applyBorder="1" applyAlignment="1">
      <alignment horizontal="left" vertical="center"/>
    </xf>
    <xf numFmtId="4" fontId="0" fillId="0" borderId="24" xfId="0" applyNumberFormat="1" applyFill="1" applyBorder="1" applyAlignment="1">
      <alignment horizontal="lef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9" xfId="0" applyFont="1" applyFill="1" applyBorder="1" applyAlignment="1">
      <alignment horizontal="right" vertical="center"/>
    </xf>
    <xf numFmtId="0" fontId="0" fillId="0" borderId="47" xfId="0" applyFill="1" applyBorder="1" applyAlignment="1">
      <alignment horizontal="right" vertical="center"/>
    </xf>
    <xf numFmtId="0" fontId="0" fillId="0" borderId="9" xfId="0" applyFill="1" applyBorder="1" applyAlignment="1">
      <alignment horizontal="right" vertical="center"/>
    </xf>
    <xf numFmtId="4" fontId="0" fillId="0" borderId="15" xfId="0" applyNumberFormat="1" applyBorder="1" applyAlignment="1">
      <alignment vertical="center"/>
    </xf>
    <xf numFmtId="0" fontId="0" fillId="0" borderId="35" xfId="0" applyFont="1" applyFill="1" applyBorder="1" applyAlignment="1">
      <alignment horizontal="right" vertical="center"/>
    </xf>
    <xf numFmtId="0" fontId="0" fillId="0" borderId="38" xfId="0" applyFont="1" applyFill="1" applyBorder="1" applyAlignment="1">
      <alignment horizontal="right" vertical="center"/>
    </xf>
    <xf numFmtId="0" fontId="0" fillId="0" borderId="47" xfId="0" applyFont="1" applyFill="1" applyBorder="1" applyAlignment="1">
      <alignment horizontal="right" vertical="center"/>
    </xf>
    <xf numFmtId="0" fontId="3" fillId="0" borderId="41" xfId="0" applyFont="1" applyFill="1" applyBorder="1" applyAlignment="1">
      <alignment horizontal="right" vertical="center"/>
    </xf>
    <xf numFmtId="0" fontId="0" fillId="0" borderId="40" xfId="0" applyFill="1" applyBorder="1" applyAlignment="1">
      <alignment horizontal="center" vertical="center"/>
    </xf>
    <xf numFmtId="4" fontId="0" fillId="0" borderId="40" xfId="0" applyNumberFormat="1" applyFill="1" applyBorder="1" applyAlignment="1">
      <alignment horizontal="left" vertical="center"/>
    </xf>
    <xf numFmtId="0" fontId="0" fillId="0" borderId="41" xfId="0" applyFill="1" applyBorder="1" applyAlignment="1">
      <alignment horizontal="center" vertical="center"/>
    </xf>
    <xf numFmtId="0" fontId="15" fillId="0" borderId="0" xfId="0" applyFont="1" applyAlignment="1">
      <alignment vertical="center" wrapText="1"/>
    </xf>
    <xf numFmtId="0" fontId="16" fillId="0" borderId="0" xfId="0" applyFont="1" applyAlignment="1">
      <alignment vertical="center" wrapText="1"/>
    </xf>
    <xf numFmtId="0" fontId="3" fillId="0" borderId="0" xfId="0" applyFont="1" applyBorder="1" applyAlignment="1">
      <alignment horizontal="center"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0" fillId="0" borderId="0" xfId="0" applyAlignment="1">
      <alignment horizontal="center" vertical="center"/>
    </xf>
    <xf numFmtId="1" fontId="0" fillId="0" borderId="2" xfId="0" applyNumberFormat="1" applyFill="1" applyBorder="1" applyAlignment="1">
      <alignment horizontal="center" vertical="center"/>
    </xf>
    <xf numFmtId="1" fontId="0" fillId="0" borderId="58"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0" fontId="3" fillId="0" borderId="17" xfId="0" applyFont="1" applyFill="1" applyBorder="1" applyAlignment="1">
      <alignment horizontal="center" vertical="center"/>
    </xf>
    <xf numFmtId="4" fontId="0" fillId="0" borderId="7" xfId="0" applyNumberFormat="1" applyFill="1" applyBorder="1" applyAlignment="1">
      <alignment horizontal="center" vertical="center"/>
    </xf>
    <xf numFmtId="1" fontId="0" fillId="0" borderId="62" xfId="0" applyNumberFormat="1" applyFill="1" applyBorder="1" applyAlignment="1">
      <alignment vertical="center"/>
    </xf>
    <xf numFmtId="0" fontId="17" fillId="0" borderId="0" xfId="0" applyFont="1" applyFill="1" applyBorder="1" applyAlignment="1">
      <alignment horizontal="center" vertical="center"/>
    </xf>
    <xf numFmtId="0" fontId="0" fillId="0" borderId="10" xfId="0" applyFill="1" applyBorder="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xf>
    <xf numFmtId="1" fontId="0" fillId="0" borderId="10" xfId="0" applyNumberFormat="1" applyFill="1" applyBorder="1" applyAlignment="1">
      <alignment horizontal="center" vertical="center"/>
    </xf>
    <xf numFmtId="1" fontId="0" fillId="0" borderId="50" xfId="0" applyNumberFormat="1" applyFill="1" applyBorder="1" applyAlignment="1">
      <alignment horizontal="center" vertical="center"/>
    </xf>
    <xf numFmtId="1" fontId="0" fillId="0" borderId="0" xfId="0" applyNumberFormat="1" applyFill="1" applyBorder="1" applyAlignment="1">
      <alignment horizontal="center" vertical="center"/>
    </xf>
    <xf numFmtId="1" fontId="0" fillId="0" borderId="62"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2" xfId="0" applyNumberFormat="1" applyFill="1" applyBorder="1" applyAlignment="1">
      <alignment horizontal="center" vertical="center"/>
    </xf>
    <xf numFmtId="4" fontId="0" fillId="0" borderId="50" xfId="0" applyNumberFormat="1" applyFill="1" applyBorder="1" applyAlignment="1">
      <alignment horizontal="center" vertical="center"/>
    </xf>
    <xf numFmtId="1" fontId="0" fillId="0" borderId="36" xfId="0" applyNumberFormat="1" applyFill="1" applyBorder="1" applyAlignment="1">
      <alignment horizontal="center" vertical="center"/>
    </xf>
    <xf numFmtId="1" fontId="0" fillId="0" borderId="11" xfId="0" applyNumberFormat="1" applyFill="1" applyBorder="1" applyAlignment="1">
      <alignment horizontal="center" vertical="center"/>
    </xf>
    <xf numFmtId="4" fontId="0" fillId="0" borderId="36" xfId="0" applyNumberFormat="1" applyFill="1" applyBorder="1" applyAlignment="1">
      <alignment horizontal="center" vertical="center"/>
    </xf>
    <xf numFmtId="4" fontId="0" fillId="0" borderId="7" xfId="0" applyNumberFormat="1" applyFill="1" applyBorder="1" applyAlignment="1">
      <alignment horizontal="center" vertical="center"/>
    </xf>
    <xf numFmtId="0" fontId="0" fillId="0" borderId="0" xfId="0" applyAlignment="1">
      <alignment horizontal="center"/>
    </xf>
    <xf numFmtId="1" fontId="0" fillId="0" borderId="33" xfId="0" applyNumberFormat="1" applyFill="1" applyBorder="1" applyAlignment="1">
      <alignment horizontal="center" vertical="center"/>
    </xf>
    <xf numFmtId="1" fontId="0" fillId="0" borderId="16" xfId="0" applyNumberFormat="1" applyFill="1" applyBorder="1" applyAlignment="1">
      <alignment horizontal="center" vertical="center"/>
    </xf>
    <xf numFmtId="4" fontId="0" fillId="15" borderId="1" xfId="0" applyNumberFormat="1" applyFill="1" applyBorder="1" applyAlignment="1"/>
    <xf numFmtId="1" fontId="0" fillId="0" borderId="49" xfId="0" applyNumberFormat="1" applyFill="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2" xfId="0" applyNumberFormat="1" applyFill="1" applyBorder="1" applyAlignment="1">
      <alignment horizontal="center" vertical="center"/>
    </xf>
    <xf numFmtId="1" fontId="0" fillId="0" borderId="62" xfId="0" applyNumberFormat="1" applyFont="1" applyFill="1" applyBorder="1" applyAlignment="1">
      <alignment horizontal="center" vertical="center"/>
    </xf>
    <xf numFmtId="1" fontId="0" fillId="0" borderId="11" xfId="0" applyNumberFormat="1" applyFont="1" applyFill="1" applyBorder="1" applyAlignment="1">
      <alignment horizontal="center" vertical="center"/>
    </xf>
    <xf numFmtId="1" fontId="0" fillId="0" borderId="11" xfId="0" applyNumberFormat="1" applyFill="1" applyBorder="1" applyAlignment="1">
      <alignment horizontal="center" vertical="center"/>
    </xf>
    <xf numFmtId="4" fontId="0" fillId="0" borderId="36" xfId="0" applyNumberFormat="1" applyFill="1" applyBorder="1" applyAlignment="1">
      <alignment horizontal="center" vertical="center"/>
    </xf>
    <xf numFmtId="4" fontId="0" fillId="0" borderId="7" xfId="0" applyNumberFormat="1" applyFill="1" applyBorder="1" applyAlignment="1">
      <alignment horizontal="center" vertical="center"/>
    </xf>
    <xf numFmtId="1" fontId="0" fillId="0" borderId="36" xfId="0" applyNumberFormat="1" applyFill="1" applyBorder="1" applyAlignment="1">
      <alignment horizontal="center" vertical="center"/>
    </xf>
    <xf numFmtId="0" fontId="0" fillId="0" borderId="0" xfId="0" applyAlignment="1">
      <alignment horizontal="center"/>
    </xf>
    <xf numFmtId="0" fontId="0" fillId="0" borderId="61" xfId="0" applyBorder="1"/>
    <xf numFmtId="2" fontId="0" fillId="9" borderId="12" xfId="0" applyNumberFormat="1" applyFill="1" applyBorder="1"/>
    <xf numFmtId="0" fontId="0" fillId="0" borderId="0" xfId="0" applyAlignment="1">
      <alignment horizontal="center" vertical="center"/>
    </xf>
    <xf numFmtId="0" fontId="3" fillId="0" borderId="0" xfId="0" applyFont="1" applyBorder="1" applyAlignment="1">
      <alignment horizontal="center" vertical="center"/>
    </xf>
    <xf numFmtId="1" fontId="0" fillId="0" borderId="44" xfId="0" applyNumberFormat="1" applyFill="1" applyBorder="1" applyAlignment="1">
      <alignment horizontal="center" vertical="center"/>
    </xf>
    <xf numFmtId="1" fontId="0" fillId="0" borderId="0" xfId="0" applyNumberFormat="1" applyFill="1" applyBorder="1" applyAlignment="1">
      <alignment horizontal="center" vertical="center"/>
    </xf>
    <xf numFmtId="1" fontId="0" fillId="0" borderId="60" xfId="0" applyNumberFormat="1" applyFill="1" applyBorder="1" applyAlignment="1">
      <alignment horizontal="center" vertical="center"/>
    </xf>
    <xf numFmtId="1" fontId="0" fillId="0" borderId="75"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2" xfId="0" applyNumberFormat="1" applyFill="1" applyBorder="1" applyAlignment="1">
      <alignment horizontal="center" vertical="center"/>
    </xf>
    <xf numFmtId="0" fontId="3" fillId="0" borderId="0" xfId="0" applyFont="1" applyFill="1" applyBorder="1" applyAlignment="1">
      <alignment horizontal="center" vertical="center"/>
    </xf>
    <xf numFmtId="1" fontId="0" fillId="0" borderId="36" xfId="0" applyNumberFormat="1" applyFill="1" applyBorder="1" applyAlignment="1">
      <alignment horizontal="center" vertical="center"/>
    </xf>
    <xf numFmtId="1" fontId="0" fillId="0" borderId="11" xfId="0" applyNumberFormat="1" applyFill="1" applyBorder="1" applyAlignment="1">
      <alignment horizontal="center" vertical="center"/>
    </xf>
    <xf numFmtId="1" fontId="0" fillId="0" borderId="68" xfId="0" applyNumberFormat="1" applyFill="1" applyBorder="1" applyAlignment="1">
      <alignment horizontal="center" vertical="center"/>
    </xf>
    <xf numFmtId="1" fontId="0" fillId="0" borderId="56" xfId="0" applyNumberFormat="1" applyFill="1" applyBorder="1" applyAlignment="1">
      <alignment horizontal="center" vertical="center"/>
    </xf>
    <xf numFmtId="4" fontId="0" fillId="0" borderId="57" xfId="0" applyNumberFormat="1" applyFill="1" applyBorder="1" applyAlignment="1">
      <alignment horizontal="center" vertical="center"/>
    </xf>
    <xf numFmtId="4" fontId="0" fillId="0" borderId="7" xfId="0" applyNumberFormat="1" applyFill="1" applyBorder="1" applyAlignment="1">
      <alignment horizontal="center" vertical="center"/>
    </xf>
    <xf numFmtId="1" fontId="0" fillId="0" borderId="12" xfId="0" applyNumberForma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center" vertical="center"/>
    </xf>
    <xf numFmtId="1" fontId="3" fillId="0" borderId="46" xfId="0" applyNumberFormat="1" applyFont="1" applyFill="1" applyBorder="1" applyAlignment="1">
      <alignment horizontal="center" vertical="center"/>
    </xf>
    <xf numFmtId="1" fontId="0" fillId="0" borderId="4" xfId="0" applyNumberFormat="1" applyFill="1" applyBorder="1" applyAlignment="1">
      <alignment horizontal="center" vertical="center"/>
    </xf>
    <xf numFmtId="1" fontId="0" fillId="0" borderId="44" xfId="0" applyNumberFormat="1" applyFill="1" applyBorder="1" applyAlignment="1">
      <alignment horizontal="center" vertical="center"/>
    </xf>
    <xf numFmtId="1" fontId="0" fillId="0" borderId="0" xfId="0" applyNumberFormat="1" applyFill="1" applyBorder="1" applyAlignment="1">
      <alignment horizontal="center" vertical="center"/>
    </xf>
    <xf numFmtId="0" fontId="3" fillId="0" borderId="0" xfId="0" applyFont="1" applyBorder="1" applyAlignment="1">
      <alignment horizontal="center" vertical="center"/>
    </xf>
    <xf numFmtId="1" fontId="0" fillId="0" borderId="10" xfId="0" applyNumberFormat="1" applyFill="1" applyBorder="1" applyAlignment="1">
      <alignment horizontal="center" vertical="center"/>
    </xf>
    <xf numFmtId="1" fontId="0" fillId="0" borderId="50" xfId="0" applyNumberFormat="1" applyFill="1" applyBorder="1" applyAlignment="1">
      <alignment horizontal="center" vertical="center"/>
    </xf>
    <xf numFmtId="0" fontId="0" fillId="0" borderId="0" xfId="0" applyAlignment="1">
      <alignment horizontal="center" vertical="center"/>
    </xf>
    <xf numFmtId="1" fontId="0" fillId="0" borderId="2"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58" xfId="0" applyNumberFormat="1" applyFill="1" applyBorder="1" applyAlignment="1">
      <alignment horizontal="center" vertical="center"/>
    </xf>
    <xf numFmtId="1" fontId="0" fillId="0" borderId="11" xfId="0" applyNumberFormat="1" applyFill="1" applyBorder="1" applyAlignment="1">
      <alignment horizontal="center" vertical="center"/>
    </xf>
    <xf numFmtId="4" fontId="0" fillId="0" borderId="36" xfId="0" applyNumberFormat="1" applyFill="1" applyBorder="1" applyAlignment="1">
      <alignment horizontal="center" vertical="center"/>
    </xf>
    <xf numFmtId="4" fontId="0" fillId="0" borderId="7" xfId="0" applyNumberFormat="1" applyFill="1" applyBorder="1" applyAlignment="1">
      <alignment horizontal="center" vertical="center"/>
    </xf>
    <xf numFmtId="1" fontId="0" fillId="0" borderId="36" xfId="0" applyNumberForma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center" vertical="center"/>
    </xf>
    <xf numFmtId="4" fontId="0" fillId="0" borderId="0" xfId="0" applyNumberFormat="1" applyFill="1" applyBorder="1" applyAlignment="1">
      <alignment horizontal="center" vertical="center"/>
    </xf>
    <xf numFmtId="4" fontId="0" fillId="0" borderId="76" xfId="0" applyNumberFormat="1" applyFill="1" applyBorder="1" applyAlignment="1">
      <alignment horizontal="center" vertical="center"/>
    </xf>
    <xf numFmtId="2" fontId="0" fillId="0" borderId="1" xfId="0" applyNumberFormat="1" applyFill="1" applyBorder="1" applyAlignment="1">
      <alignment horizontal="center" vertical="center"/>
    </xf>
    <xf numFmtId="0" fontId="0" fillId="0" borderId="49" xfId="0" applyBorder="1" applyAlignment="1"/>
    <xf numFmtId="0" fontId="0" fillId="0" borderId="9" xfId="0" applyBorder="1" applyAlignment="1"/>
    <xf numFmtId="0" fontId="0" fillId="0" borderId="60" xfId="0" applyBorder="1" applyAlignment="1"/>
    <xf numFmtId="0" fontId="0" fillId="0" borderId="19" xfId="0" applyBorder="1" applyAlignment="1"/>
    <xf numFmtId="0" fontId="0" fillId="11" borderId="37" xfId="0" applyFill="1" applyBorder="1" applyAlignment="1">
      <alignment horizontal="left" vertical="center"/>
    </xf>
    <xf numFmtId="0" fontId="0" fillId="11" borderId="37" xfId="0" applyFill="1" applyBorder="1"/>
    <xf numFmtId="2" fontId="0" fillId="11" borderId="37" xfId="0" applyNumberFormat="1" applyFill="1" applyBorder="1"/>
    <xf numFmtId="2" fontId="0" fillId="11" borderId="37" xfId="0" applyNumberFormat="1" applyFill="1" applyBorder="1" applyAlignment="1">
      <alignment horizontal="right"/>
    </xf>
    <xf numFmtId="2" fontId="0" fillId="11" borderId="37" xfId="0" applyNumberFormat="1" applyFill="1" applyBorder="1" applyAlignment="1">
      <alignment horizontal="right" vertical="center"/>
    </xf>
    <xf numFmtId="1" fontId="0" fillId="11" borderId="22" xfId="0" applyNumberFormat="1" applyFill="1" applyBorder="1" applyAlignment="1">
      <alignment horizontal="center" vertical="center"/>
    </xf>
    <xf numFmtId="0" fontId="0" fillId="0" borderId="33" xfId="0" applyBorder="1" applyAlignment="1">
      <alignment horizontal="left" vertical="center"/>
    </xf>
    <xf numFmtId="2" fontId="0" fillId="0" borderId="33" xfId="0" applyNumberFormat="1" applyBorder="1"/>
    <xf numFmtId="2" fontId="0" fillId="0" borderId="33" xfId="0" applyNumberFormat="1" applyBorder="1" applyAlignment="1">
      <alignment horizontal="right"/>
    </xf>
    <xf numFmtId="2" fontId="0" fillId="0" borderId="33" xfId="0" applyNumberFormat="1" applyFill="1" applyBorder="1" applyAlignment="1">
      <alignment horizontal="right"/>
    </xf>
    <xf numFmtId="2" fontId="0" fillId="0" borderId="33" xfId="0" applyNumberFormat="1" applyBorder="1" applyAlignment="1">
      <alignment horizontal="right" vertical="center"/>
    </xf>
    <xf numFmtId="2" fontId="0" fillId="0" borderId="33" xfId="0" applyNumberFormat="1" applyFill="1" applyBorder="1" applyAlignment="1">
      <alignment horizontal="right" vertical="center"/>
    </xf>
    <xf numFmtId="2" fontId="0" fillId="19" borderId="37" xfId="0" applyNumberFormat="1" applyFill="1" applyBorder="1"/>
    <xf numFmtId="1" fontId="0" fillId="11" borderId="22" xfId="0" applyNumberFormat="1" applyFill="1" applyBorder="1" applyAlignment="1">
      <alignment horizontal="center"/>
    </xf>
    <xf numFmtId="2" fontId="0" fillId="0" borderId="1" xfId="0" applyNumberFormat="1" applyBorder="1" applyAlignment="1">
      <alignment horizontal="right"/>
    </xf>
    <xf numFmtId="2" fontId="0" fillId="0" borderId="1" xfId="0" applyNumberFormat="1" applyFill="1" applyBorder="1" applyAlignment="1">
      <alignment horizontal="right"/>
    </xf>
    <xf numFmtId="1" fontId="0" fillId="0" borderId="7" xfId="0" applyNumberFormat="1" applyFill="1" applyBorder="1" applyAlignment="1">
      <alignment horizontal="center"/>
    </xf>
    <xf numFmtId="0" fontId="0" fillId="11" borderId="8" xfId="0" applyFill="1" applyBorder="1" applyAlignment="1">
      <alignment horizontal="center" vertical="center"/>
    </xf>
    <xf numFmtId="0" fontId="0" fillId="11" borderId="33" xfId="0" applyFill="1" applyBorder="1" applyAlignment="1">
      <alignment horizontal="left" vertical="center"/>
    </xf>
    <xf numFmtId="0" fontId="0" fillId="11" borderId="33" xfId="0" applyFill="1" applyBorder="1"/>
    <xf numFmtId="2" fontId="0" fillId="11" borderId="33" xfId="0" applyNumberFormat="1" applyFill="1" applyBorder="1"/>
    <xf numFmtId="2" fontId="0" fillId="11" borderId="33" xfId="0" applyNumberFormat="1" applyFill="1" applyBorder="1" applyAlignment="1">
      <alignment horizontal="right"/>
    </xf>
    <xf numFmtId="1" fontId="0" fillId="11" borderId="16" xfId="0" applyNumberFormat="1" applyFill="1" applyBorder="1" applyAlignment="1">
      <alignment horizontal="center"/>
    </xf>
    <xf numFmtId="0" fontId="0" fillId="0" borderId="58" xfId="0" applyBorder="1" applyAlignment="1">
      <alignment horizontal="center" vertical="center"/>
    </xf>
    <xf numFmtId="0" fontId="0" fillId="0" borderId="37" xfId="0" applyBorder="1" applyAlignment="1">
      <alignment horizontal="left" vertical="center"/>
    </xf>
    <xf numFmtId="0" fontId="0" fillId="0" borderId="22" xfId="0" applyBorder="1" applyAlignment="1">
      <alignment horizontal="center"/>
    </xf>
    <xf numFmtId="0" fontId="0" fillId="11" borderId="16" xfId="0" applyFill="1" applyBorder="1" applyAlignment="1">
      <alignment horizontal="center"/>
    </xf>
    <xf numFmtId="0" fontId="5" fillId="0" borderId="13" xfId="0" applyFont="1" applyBorder="1" applyAlignment="1">
      <alignment horizontal="right" vertical="center" wrapText="1"/>
    </xf>
    <xf numFmtId="0" fontId="4" fillId="0" borderId="9" xfId="0" applyFont="1" applyBorder="1" applyAlignment="1">
      <alignment vertical="center" wrapText="1"/>
    </xf>
    <xf numFmtId="165" fontId="18" fillId="0" borderId="1" xfId="0" applyNumberFormat="1" applyFont="1" applyBorder="1" applyAlignment="1">
      <alignment vertical="center" wrapText="1"/>
    </xf>
    <xf numFmtId="0" fontId="5" fillId="0" borderId="6" xfId="0" applyFont="1" applyBorder="1" applyAlignment="1">
      <alignment horizontal="right" vertical="center" wrapText="1"/>
    </xf>
    <xf numFmtId="0" fontId="18" fillId="0" borderId="21" xfId="0" applyFont="1" applyBorder="1" applyAlignment="1">
      <alignment vertical="center" wrapText="1"/>
    </xf>
    <xf numFmtId="2" fontId="18" fillId="0" borderId="1" xfId="0" applyNumberFormat="1" applyFont="1" applyBorder="1" applyAlignment="1">
      <alignment vertical="center" wrapText="1"/>
    </xf>
    <xf numFmtId="0" fontId="18" fillId="0" borderId="9" xfId="0" applyFont="1" applyBorder="1" applyAlignment="1">
      <alignment vertical="center" wrapText="1"/>
    </xf>
    <xf numFmtId="2" fontId="18" fillId="0" borderId="9" xfId="0" applyNumberFormat="1" applyFont="1" applyBorder="1" applyAlignment="1">
      <alignment vertical="center" wrapText="1"/>
    </xf>
    <xf numFmtId="0" fontId="18" fillId="0" borderId="0" xfId="0" applyFont="1" applyBorder="1" applyAlignment="1">
      <alignment vertical="center" wrapText="1"/>
    </xf>
    <xf numFmtId="0" fontId="18" fillId="0" borderId="6" xfId="0" applyFont="1" applyBorder="1" applyAlignment="1">
      <alignment horizontal="right" vertical="center" wrapText="1"/>
    </xf>
    <xf numFmtId="0" fontId="5" fillId="0" borderId="11" xfId="0" applyFont="1" applyBorder="1" applyAlignment="1">
      <alignment horizontal="right" vertical="center" wrapText="1"/>
    </xf>
    <xf numFmtId="4" fontId="4" fillId="0" borderId="1" xfId="0" applyNumberFormat="1" applyFont="1" applyBorder="1" applyAlignment="1">
      <alignment vertical="center" wrapText="1"/>
    </xf>
    <xf numFmtId="165" fontId="18" fillId="0" borderId="1" xfId="0" applyNumberFormat="1" applyFont="1" applyBorder="1" applyAlignment="1">
      <alignment horizontal="center" vertical="center" wrapText="1"/>
    </xf>
    <xf numFmtId="0" fontId="4" fillId="20" borderId="1"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Border="1" applyAlignment="1">
      <alignment horizontal="center" vertical="center"/>
    </xf>
    <xf numFmtId="0" fontId="0" fillId="0" borderId="10" xfId="0" applyBorder="1" applyAlignment="1">
      <alignment horizontal="center"/>
    </xf>
    <xf numFmtId="0" fontId="0" fillId="11" borderId="58" xfId="0"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1" fontId="0" fillId="0" borderId="16" xfId="0" applyNumberFormat="1" applyFill="1" applyBorder="1" applyAlignment="1">
      <alignment horizontal="center" vertical="center"/>
    </xf>
    <xf numFmtId="0" fontId="0" fillId="15" borderId="49" xfId="0" applyFill="1" applyBorder="1" applyAlignment="1">
      <alignment horizontal="center"/>
    </xf>
    <xf numFmtId="2" fontId="0" fillId="19" borderId="1" xfId="0" applyNumberFormat="1" applyFill="1" applyBorder="1"/>
    <xf numFmtId="2" fontId="0" fillId="19" borderId="33" xfId="0" applyNumberFormat="1" applyFill="1" applyBorder="1"/>
    <xf numFmtId="2"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2" fontId="0" fillId="0" borderId="1" xfId="0" applyNumberFormat="1" applyBorder="1" applyAlignment="1">
      <alignment horizontal="center"/>
    </xf>
    <xf numFmtId="0" fontId="5" fillId="0" borderId="0" xfId="0" applyFont="1" applyFill="1" applyBorder="1" applyAlignment="1">
      <alignment vertical="center" wrapText="1"/>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2" xfId="0" applyNumberFormat="1" applyFill="1" applyBorder="1" applyAlignment="1">
      <alignment horizontal="center" vertical="center"/>
    </xf>
    <xf numFmtId="1" fontId="0" fillId="3" borderId="58" xfId="0" applyNumberFormat="1" applyFont="1" applyFill="1" applyBorder="1" applyAlignment="1">
      <alignment horizontal="center" vertical="center"/>
    </xf>
    <xf numFmtId="1" fontId="0" fillId="3" borderId="2" xfId="0" applyNumberFormat="1" applyFont="1" applyFill="1" applyBorder="1" applyAlignment="1">
      <alignment horizontal="center" vertical="center"/>
    </xf>
    <xf numFmtId="1" fontId="0" fillId="3" borderId="8" xfId="0" applyNumberFormat="1" applyFont="1" applyFill="1" applyBorder="1" applyAlignment="1">
      <alignment horizontal="center" vertical="center"/>
    </xf>
    <xf numFmtId="0" fontId="6" fillId="0" borderId="47" xfId="0" applyFont="1" applyFill="1" applyBorder="1" applyAlignment="1">
      <alignment horizontal="right" vertical="center"/>
    </xf>
    <xf numFmtId="0" fontId="6" fillId="0" borderId="49" xfId="0" applyFont="1" applyFill="1" applyBorder="1" applyAlignment="1">
      <alignment horizontal="right" vertical="center"/>
    </xf>
    <xf numFmtId="1" fontId="0" fillId="0" borderId="62" xfId="0" applyNumberFormat="1" applyFill="1" applyBorder="1" applyAlignment="1">
      <alignment horizontal="center" vertical="center"/>
    </xf>
    <xf numFmtId="1" fontId="0" fillId="0" borderId="0" xfId="0" applyNumberFormat="1" applyFill="1" applyBorder="1" applyAlignment="1">
      <alignment horizontal="center" vertical="center"/>
    </xf>
    <xf numFmtId="0" fontId="3" fillId="0" borderId="0" xfId="0" applyFont="1" applyBorder="1" applyAlignment="1">
      <alignment horizontal="center" vertical="center"/>
    </xf>
    <xf numFmtId="4" fontId="0" fillId="0" borderId="6" xfId="0" applyNumberFormat="1" applyFill="1" applyBorder="1" applyAlignment="1">
      <alignment horizontal="left" vertical="center"/>
    </xf>
    <xf numFmtId="4" fontId="0" fillId="0" borderId="24" xfId="0" applyNumberFormat="1" applyFill="1" applyBorder="1" applyAlignment="1">
      <alignment horizontal="left" vertical="center"/>
    </xf>
    <xf numFmtId="0" fontId="0" fillId="0" borderId="0" xfId="0" applyAlignment="1">
      <alignment horizontal="center" vertical="center"/>
    </xf>
    <xf numFmtId="1" fontId="0" fillId="0" borderId="2"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58" xfId="0" applyNumberFormat="1" applyFill="1" applyBorder="1" applyAlignment="1">
      <alignment horizontal="center" vertical="center"/>
    </xf>
    <xf numFmtId="1" fontId="0" fillId="0" borderId="11" xfId="0" applyNumberFormat="1" applyFill="1" applyBorder="1" applyAlignment="1">
      <alignment horizontal="center" vertical="center"/>
    </xf>
    <xf numFmtId="4" fontId="0" fillId="0" borderId="36" xfId="0" applyNumberFormat="1" applyFill="1" applyBorder="1" applyAlignment="1">
      <alignment horizontal="center" vertical="center"/>
    </xf>
    <xf numFmtId="4" fontId="0" fillId="0" borderId="7" xfId="0" applyNumberFormat="1" applyFill="1" applyBorder="1" applyAlignment="1">
      <alignment horizontal="center" vertical="center"/>
    </xf>
    <xf numFmtId="1" fontId="0" fillId="0" borderId="36" xfId="0" applyNumberFormat="1" applyFill="1" applyBorder="1" applyAlignment="1">
      <alignment horizontal="center" vertical="center"/>
    </xf>
    <xf numFmtId="0" fontId="0" fillId="0" borderId="0" xfId="0" applyFill="1" applyBorder="1" applyAlignment="1">
      <alignment horizontal="center" vertical="center"/>
    </xf>
    <xf numFmtId="4" fontId="0" fillId="0" borderId="26" xfId="0" applyNumberFormat="1" applyFill="1" applyBorder="1" applyAlignment="1">
      <alignment horizontal="lef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47" xfId="0" applyFont="1" applyFill="1" applyBorder="1" applyAlignment="1">
      <alignment horizontal="right" vertical="center"/>
    </xf>
    <xf numFmtId="0" fontId="3" fillId="0" borderId="9" xfId="0" applyFont="1" applyFill="1" applyBorder="1" applyAlignment="1">
      <alignment horizontal="right" vertical="center"/>
    </xf>
    <xf numFmtId="0" fontId="0" fillId="0" borderId="47" xfId="0" applyFill="1" applyBorder="1" applyAlignment="1">
      <alignment horizontal="right" vertical="center"/>
    </xf>
    <xf numFmtId="0" fontId="0" fillId="0" borderId="9" xfId="0" applyFill="1" applyBorder="1" applyAlignment="1">
      <alignment horizontal="right" vertical="center"/>
    </xf>
    <xf numFmtId="0" fontId="3" fillId="0" borderId="42" xfId="0" applyFont="1" applyFill="1" applyBorder="1" applyAlignment="1">
      <alignment horizontal="right" vertical="center"/>
    </xf>
    <xf numFmtId="0" fontId="3" fillId="0" borderId="48" xfId="0" applyFont="1" applyFill="1" applyBorder="1" applyAlignment="1">
      <alignment horizontal="right" vertical="center"/>
    </xf>
    <xf numFmtId="0" fontId="0" fillId="0" borderId="28" xfId="0" applyFill="1" applyBorder="1" applyAlignment="1">
      <alignment horizontal="center" vertical="center"/>
    </xf>
    <xf numFmtId="0" fontId="0" fillId="0" borderId="48" xfId="0" applyFill="1" applyBorder="1" applyAlignment="1">
      <alignment horizontal="center" vertical="center"/>
    </xf>
    <xf numFmtId="1" fontId="0" fillId="0" borderId="33" xfId="0" applyNumberFormat="1" applyFill="1" applyBorder="1" applyAlignment="1">
      <alignment horizontal="center" vertical="center"/>
    </xf>
    <xf numFmtId="1" fontId="0" fillId="0" borderId="16" xfId="0" applyNumberFormat="1" applyFill="1" applyBorder="1" applyAlignment="1">
      <alignment horizontal="center" vertical="center"/>
    </xf>
    <xf numFmtId="1" fontId="0" fillId="3" borderId="58" xfId="0" applyNumberFormat="1" applyFill="1" applyBorder="1" applyAlignment="1">
      <alignment horizontal="center" vertical="center"/>
    </xf>
    <xf numFmtId="1" fontId="0" fillId="3" borderId="2" xfId="0" applyNumberFormat="1" applyFill="1" applyBorder="1" applyAlignment="1">
      <alignment horizontal="center" vertical="center"/>
    </xf>
    <xf numFmtId="1" fontId="0" fillId="3" borderId="71" xfId="0" applyNumberFormat="1" applyFill="1" applyBorder="1" applyAlignment="1">
      <alignment horizontal="center" vertical="center"/>
    </xf>
    <xf numFmtId="1" fontId="0" fillId="3" borderId="8" xfId="0" applyNumberFormat="1" applyFill="1" applyBorder="1" applyAlignment="1">
      <alignment horizontal="center" vertical="center"/>
    </xf>
    <xf numFmtId="1" fontId="3" fillId="3" borderId="59" xfId="0" applyNumberFormat="1" applyFont="1" applyFill="1" applyBorder="1" applyAlignment="1">
      <alignment horizontal="center" vertical="center"/>
    </xf>
    <xf numFmtId="1" fontId="0" fillId="21" borderId="58" xfId="0" applyNumberFormat="1" applyFill="1" applyBorder="1" applyAlignment="1">
      <alignment horizontal="center" vertical="center"/>
    </xf>
    <xf numFmtId="1" fontId="0" fillId="21" borderId="62" xfId="0" applyNumberFormat="1" applyFill="1" applyBorder="1" applyAlignment="1">
      <alignment horizontal="center" vertical="center"/>
    </xf>
    <xf numFmtId="1" fontId="0" fillId="21" borderId="2" xfId="0" applyNumberFormat="1" applyFill="1" applyBorder="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3" xfId="0" applyNumberFormat="1" applyFill="1" applyBorder="1" applyAlignment="1">
      <alignment horizontal="center" vertical="center"/>
    </xf>
    <xf numFmtId="1" fontId="0" fillId="0" borderId="5" xfId="0" applyNumberFormat="1" applyFill="1" applyBorder="1" applyAlignment="1">
      <alignment horizontal="center" vertical="center"/>
    </xf>
    <xf numFmtId="0" fontId="0" fillId="0" borderId="0" xfId="0" applyFill="1" applyBorder="1" applyAlignment="1">
      <alignment horizontal="center" vertical="center"/>
    </xf>
    <xf numFmtId="1" fontId="0" fillId="0" borderId="10" xfId="0" applyNumberFormat="1" applyFill="1" applyBorder="1" applyAlignment="1">
      <alignment horizontal="center" vertical="center"/>
    </xf>
    <xf numFmtId="1" fontId="0" fillId="0" borderId="50" xfId="0" applyNumberFormat="1" applyFill="1" applyBorder="1" applyAlignment="1">
      <alignment horizontal="center" vertical="center"/>
    </xf>
    <xf numFmtId="4" fontId="0" fillId="0" borderId="50" xfId="0" applyNumberFormat="1" applyFill="1" applyBorder="1" applyAlignment="1">
      <alignment horizontal="center" vertical="center"/>
    </xf>
    <xf numFmtId="4" fontId="0" fillId="0" borderId="36" xfId="0" applyNumberFormat="1" applyFill="1" applyBorder="1" applyAlignment="1">
      <alignment horizontal="center" vertical="center"/>
    </xf>
    <xf numFmtId="4" fontId="0" fillId="0" borderId="7" xfId="0" applyNumberFormat="1" applyFill="1" applyBorder="1" applyAlignment="1">
      <alignment horizontal="center" vertical="center"/>
    </xf>
    <xf numFmtId="0" fontId="0" fillId="0" borderId="0" xfId="0" applyAlignment="1">
      <alignment horizontal="center"/>
    </xf>
    <xf numFmtId="1" fontId="0" fillId="0" borderId="33" xfId="0" applyNumberFormat="1" applyFill="1" applyBorder="1" applyAlignment="1">
      <alignment horizontal="center" vertical="center"/>
    </xf>
    <xf numFmtId="1" fontId="0" fillId="21" borderId="8" xfId="0" applyNumberFormat="1" applyFill="1" applyBorder="1" applyAlignment="1">
      <alignment horizontal="center" vertical="center"/>
    </xf>
    <xf numFmtId="0" fontId="0" fillId="0" borderId="55" xfId="0" applyBorder="1"/>
    <xf numFmtId="0" fontId="0" fillId="0" borderId="55" xfId="0" applyBorder="1" applyAlignment="1">
      <alignment vertical="center" textRotation="89"/>
    </xf>
    <xf numFmtId="0" fontId="0" fillId="0" borderId="46" xfId="0" applyBorder="1" applyAlignment="1">
      <alignment vertical="center" textRotation="89"/>
    </xf>
    <xf numFmtId="1" fontId="0" fillId="21" borderId="59" xfId="0" applyNumberFormat="1" applyFill="1" applyBorder="1" applyAlignment="1">
      <alignment horizontal="center" vertical="center"/>
    </xf>
    <xf numFmtId="0" fontId="0" fillId="0" borderId="0" xfId="0" applyBorder="1" applyAlignment="1">
      <alignment vertical="center" textRotation="89"/>
    </xf>
    <xf numFmtId="0" fontId="6" fillId="0" borderId="0" xfId="0" applyFont="1" applyFill="1" applyBorder="1" applyAlignment="1">
      <alignment horizontal="right" vertical="center"/>
    </xf>
    <xf numFmtId="0" fontId="0" fillId="0" borderId="0" xfId="0" applyFill="1" applyBorder="1" applyAlignment="1">
      <alignment horizontal="right" vertical="center"/>
    </xf>
    <xf numFmtId="4" fontId="0" fillId="0" borderId="0" xfId="0" applyNumberFormat="1" applyFill="1" applyBorder="1" applyAlignment="1">
      <alignment horizontal="left" vertical="center"/>
    </xf>
    <xf numFmtId="0" fontId="0" fillId="0" borderId="0" xfId="0" applyFont="1" applyFill="1" applyBorder="1" applyAlignment="1">
      <alignment horizontal="right" vertical="center"/>
    </xf>
    <xf numFmtId="0" fontId="3" fillId="0" borderId="0" xfId="0" applyFont="1" applyFill="1" applyBorder="1" applyAlignment="1">
      <alignment horizontal="right" vertical="center"/>
    </xf>
    <xf numFmtId="0" fontId="0" fillId="0" borderId="39" xfId="0" applyBorder="1"/>
    <xf numFmtId="0" fontId="0" fillId="0" borderId="73" xfId="0" applyBorder="1"/>
    <xf numFmtId="1" fontId="0" fillId="22" borderId="58" xfId="0" applyNumberFormat="1" applyFill="1" applyBorder="1" applyAlignment="1">
      <alignment horizontal="center" vertical="center"/>
    </xf>
    <xf numFmtId="1" fontId="0" fillId="22" borderId="2" xfId="0" applyNumberFormat="1" applyFill="1" applyBorder="1" applyAlignment="1">
      <alignment horizontal="center" vertical="center"/>
    </xf>
    <xf numFmtId="1" fontId="0" fillId="22" borderId="58" xfId="0" applyNumberFormat="1" applyFill="1" applyBorder="1" applyAlignment="1">
      <alignment horizontal="center" vertical="center"/>
    </xf>
    <xf numFmtId="1" fontId="0" fillId="22" borderId="2" xfId="0" applyNumberFormat="1" applyFill="1" applyBorder="1" applyAlignment="1">
      <alignment horizontal="center" vertical="center"/>
    </xf>
    <xf numFmtId="1" fontId="0" fillId="22" borderId="8" xfId="0" applyNumberFormat="1" applyFill="1" applyBorder="1" applyAlignment="1">
      <alignment horizontal="center" vertical="center"/>
    </xf>
    <xf numFmtId="1" fontId="0" fillId="0" borderId="42" xfId="0" applyNumberFormat="1" applyFill="1" applyBorder="1" applyAlignment="1">
      <alignment horizontal="center" vertical="center"/>
    </xf>
    <xf numFmtId="1" fontId="0" fillId="0" borderId="29" xfId="0" applyNumberFormat="1" applyFill="1" applyBorder="1" applyAlignment="1">
      <alignment horizontal="center" vertical="center"/>
    </xf>
    <xf numFmtId="0" fontId="0" fillId="0" borderId="73" xfId="0" applyBorder="1" applyAlignment="1"/>
    <xf numFmtId="1" fontId="0" fillId="14" borderId="58" xfId="0" applyNumberFormat="1" applyFill="1" applyBorder="1" applyAlignment="1">
      <alignment horizontal="center" vertical="center"/>
    </xf>
    <xf numFmtId="1" fontId="0" fillId="14" borderId="2" xfId="0" applyNumberFormat="1" applyFill="1" applyBorder="1" applyAlignment="1">
      <alignment horizontal="center" vertical="center"/>
    </xf>
    <xf numFmtId="1" fontId="0" fillId="14" borderId="2" xfId="0" applyNumberFormat="1" applyFont="1" applyFill="1" applyBorder="1" applyAlignment="1">
      <alignment horizontal="center" vertical="center"/>
    </xf>
    <xf numFmtId="1" fontId="0" fillId="14" borderId="8" xfId="0" applyNumberFormat="1" applyFill="1" applyBorder="1" applyAlignment="1">
      <alignment horizontal="center" vertical="center"/>
    </xf>
    <xf numFmtId="1" fontId="0" fillId="14" borderId="59" xfId="0" applyNumberFormat="1" applyFill="1" applyBorder="1" applyAlignment="1">
      <alignment horizontal="center" vertical="center"/>
    </xf>
    <xf numFmtId="1" fontId="0" fillId="0" borderId="30" xfId="0" applyNumberFormat="1" applyFill="1" applyBorder="1" applyAlignment="1">
      <alignment horizontal="center" vertical="center"/>
    </xf>
    <xf numFmtId="1" fontId="0" fillId="0" borderId="38" xfId="0" applyNumberFormat="1" applyFill="1" applyBorder="1" applyAlignment="1">
      <alignment horizontal="center" vertical="center"/>
    </xf>
    <xf numFmtId="1" fontId="0" fillId="0" borderId="27" xfId="0" applyNumberFormat="1" applyFill="1" applyBorder="1" applyAlignment="1">
      <alignment horizontal="center" vertical="center"/>
    </xf>
    <xf numFmtId="1" fontId="0" fillId="14" borderId="62" xfId="0" applyNumberFormat="1" applyFill="1" applyBorder="1" applyAlignment="1">
      <alignment horizontal="center" vertical="center"/>
    </xf>
    <xf numFmtId="1" fontId="0" fillId="14" borderId="58" xfId="0" applyNumberFormat="1" applyFont="1" applyFill="1" applyBorder="1" applyAlignment="1">
      <alignment horizontal="center" vertical="center"/>
    </xf>
    <xf numFmtId="1" fontId="0" fillId="14" borderId="8" xfId="0" applyNumberFormat="1" applyFont="1" applyFill="1" applyBorder="1" applyAlignment="1">
      <alignment horizontal="center" vertical="center"/>
    </xf>
    <xf numFmtId="1" fontId="0" fillId="14" borderId="59" xfId="0" applyNumberFormat="1" applyFont="1" applyFill="1" applyBorder="1" applyAlignment="1">
      <alignment horizontal="center" vertical="center"/>
    </xf>
    <xf numFmtId="2" fontId="0" fillId="16" borderId="11" xfId="0" applyNumberFormat="1" applyFill="1" applyBorder="1" applyAlignment="1">
      <alignment vertical="center"/>
    </xf>
    <xf numFmtId="2" fontId="0" fillId="16" borderId="1" xfId="0" applyNumberFormat="1" applyFill="1" applyBorder="1" applyAlignment="1">
      <alignment vertical="center"/>
    </xf>
    <xf numFmtId="0" fontId="5" fillId="0" borderId="10" xfId="0" applyFont="1" applyFill="1" applyBorder="1" applyAlignment="1">
      <alignment horizontal="left" vertical="justify" wrapText="1"/>
    </xf>
    <xf numFmtId="0" fontId="5" fillId="0" borderId="11" xfId="0" applyFont="1" applyFill="1" applyBorder="1" applyAlignment="1">
      <alignment horizontal="left" vertical="justify" wrapText="1"/>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44" xfId="0" applyFont="1" applyBorder="1" applyAlignment="1">
      <alignment horizontal="center" vertical="center"/>
    </xf>
    <xf numFmtId="0" fontId="0" fillId="0" borderId="1" xfId="0"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alignment horizontal="center"/>
    </xf>
    <xf numFmtId="0" fontId="3" fillId="0" borderId="17" xfId="0" applyFont="1" applyBorder="1" applyAlignment="1">
      <alignment horizontal="center" vertical="center"/>
    </xf>
    <xf numFmtId="4" fontId="0" fillId="0" borderId="6" xfId="0" applyNumberFormat="1" applyFill="1" applyBorder="1" applyAlignment="1">
      <alignment horizontal="left" vertical="center"/>
    </xf>
    <xf numFmtId="4" fontId="0" fillId="0" borderId="24" xfId="0" applyNumberFormat="1" applyFill="1" applyBorder="1" applyAlignment="1">
      <alignment horizontal="left" vertical="center"/>
    </xf>
    <xf numFmtId="0" fontId="6" fillId="0" borderId="47" xfId="0" applyFont="1" applyFill="1" applyBorder="1" applyAlignment="1">
      <alignment horizontal="right" vertical="center"/>
    </xf>
    <xf numFmtId="0" fontId="6" fillId="0" borderId="49" xfId="0" applyFont="1" applyFill="1" applyBorder="1" applyAlignment="1">
      <alignment horizontal="right" vertical="center"/>
    </xf>
    <xf numFmtId="0" fontId="0" fillId="0" borderId="0" xfId="0" applyAlignment="1">
      <alignment horizontal="center" vertical="center" wrapText="1"/>
    </xf>
    <xf numFmtId="0" fontId="0" fillId="0" borderId="35" xfId="0" applyBorder="1" applyAlignment="1">
      <alignment horizontal="center" vertical="center"/>
    </xf>
    <xf numFmtId="0" fontId="0" fillId="0" borderId="32" xfId="0" applyBorder="1" applyAlignment="1">
      <alignment horizontal="center" vertical="center"/>
    </xf>
    <xf numFmtId="4" fontId="0" fillId="0" borderId="61" xfId="0" applyNumberFormat="1" applyBorder="1" applyAlignment="1">
      <alignment horizontal="left" vertical="center"/>
    </xf>
    <xf numFmtId="4" fontId="0" fillId="0" borderId="65" xfId="0" applyNumberFormat="1" applyBorder="1" applyAlignment="1">
      <alignment horizontal="left" vertical="center"/>
    </xf>
    <xf numFmtId="0" fontId="0" fillId="9" borderId="58" xfId="0" applyFill="1" applyBorder="1" applyAlignment="1">
      <alignment horizontal="right" vertical="center"/>
    </xf>
    <xf numFmtId="0" fontId="0" fillId="9" borderId="37" xfId="0" applyFill="1" applyBorder="1" applyAlignment="1">
      <alignment horizontal="right" vertical="center"/>
    </xf>
    <xf numFmtId="0" fontId="0" fillId="9" borderId="8" xfId="0" applyFill="1" applyBorder="1" applyAlignment="1">
      <alignment horizontal="right" vertical="center"/>
    </xf>
    <xf numFmtId="0" fontId="0" fillId="9" borderId="33" xfId="0" applyFill="1" applyBorder="1" applyAlignment="1">
      <alignment horizontal="right" vertical="center"/>
    </xf>
    <xf numFmtId="4" fontId="0" fillId="0" borderId="0" xfId="0" applyNumberFormat="1" applyAlignment="1">
      <alignment horizontal="center" vertical="center"/>
    </xf>
    <xf numFmtId="0" fontId="0" fillId="0" borderId="0" xfId="0" applyAlignment="1">
      <alignment horizontal="center" vertical="center"/>
    </xf>
    <xf numFmtId="2" fontId="0" fillId="0" borderId="73" xfId="0" applyNumberFormat="1" applyBorder="1" applyAlignment="1">
      <alignment horizontal="center" vertical="center"/>
    </xf>
    <xf numFmtId="2" fontId="0" fillId="0" borderId="55" xfId="0" applyNumberFormat="1" applyBorder="1" applyAlignment="1">
      <alignment horizontal="center" vertical="center"/>
    </xf>
    <xf numFmtId="2" fontId="0" fillId="0" borderId="46" xfId="0" applyNumberFormat="1" applyBorder="1" applyAlignment="1">
      <alignment horizontal="center" vertical="center"/>
    </xf>
    <xf numFmtId="165" fontId="0" fillId="0" borderId="0" xfId="0" applyNumberFormat="1" applyAlignment="1">
      <alignment horizontal="center"/>
    </xf>
    <xf numFmtId="0" fontId="0" fillId="0" borderId="47" xfId="0" applyBorder="1" applyAlignment="1">
      <alignment horizontal="left" vertical="center"/>
    </xf>
    <xf numFmtId="0" fontId="0" fillId="0" borderId="9" xfId="0" applyBorder="1" applyAlignment="1">
      <alignment horizontal="left" vertical="center"/>
    </xf>
    <xf numFmtId="0" fontId="0" fillId="0" borderId="35" xfId="0" applyBorder="1" applyAlignment="1">
      <alignment horizontal="left" vertical="center"/>
    </xf>
    <xf numFmtId="0" fontId="0" fillId="0" borderId="31" xfId="0" applyBorder="1" applyAlignment="1">
      <alignment horizontal="left" vertical="center"/>
    </xf>
    <xf numFmtId="1" fontId="0" fillId="0" borderId="49" xfId="0" applyNumberFormat="1" applyFill="1" applyBorder="1" applyAlignment="1">
      <alignment horizontal="center" vertical="center"/>
    </xf>
    <xf numFmtId="0" fontId="0" fillId="0" borderId="61" xfId="0" applyBorder="1" applyAlignment="1">
      <alignment horizontal="right"/>
    </xf>
    <xf numFmtId="0" fontId="0" fillId="0" borderId="65" xfId="0" applyBorder="1" applyAlignment="1">
      <alignment horizontal="right"/>
    </xf>
    <xf numFmtId="1" fontId="0" fillId="0" borderId="73" xfId="0" applyNumberFormat="1" applyBorder="1" applyAlignment="1">
      <alignment horizontal="center" vertical="center" textRotation="89"/>
    </xf>
    <xf numFmtId="1" fontId="0" fillId="0" borderId="55" xfId="0" applyNumberFormat="1" applyBorder="1" applyAlignment="1">
      <alignment horizontal="center" vertical="center" textRotation="89"/>
    </xf>
    <xf numFmtId="1" fontId="0" fillId="0" borderId="46" xfId="0" applyNumberFormat="1" applyBorder="1" applyAlignment="1">
      <alignment horizontal="center" vertical="center" textRotation="89"/>
    </xf>
    <xf numFmtId="1" fontId="0" fillId="0" borderId="17" xfId="0" applyNumberFormat="1" applyBorder="1" applyAlignment="1">
      <alignment horizontal="center" vertical="center" textRotation="89"/>
    </xf>
    <xf numFmtId="0" fontId="7" fillId="0" borderId="35" xfId="0" applyFont="1" applyFill="1" applyBorder="1" applyAlignment="1">
      <alignment horizontal="right" vertical="center"/>
    </xf>
    <xf numFmtId="0" fontId="7" fillId="0" borderId="32" xfId="0" applyFont="1" applyFill="1" applyBorder="1" applyAlignment="1">
      <alignment horizontal="right" vertical="center"/>
    </xf>
    <xf numFmtId="0" fontId="0" fillId="0" borderId="0" xfId="0" applyBorder="1" applyAlignment="1">
      <alignment horizontal="right"/>
    </xf>
    <xf numFmtId="0" fontId="0" fillId="0" borderId="61" xfId="0" applyBorder="1" applyAlignment="1">
      <alignment horizontal="center" vertical="center"/>
    </xf>
    <xf numFmtId="0" fontId="0" fillId="0" borderId="63" xfId="0" applyBorder="1" applyAlignment="1">
      <alignment horizontal="center" vertical="center"/>
    </xf>
    <xf numFmtId="0" fontId="0" fillId="0" borderId="0" xfId="0" applyAlignment="1">
      <alignment horizontal="right"/>
    </xf>
    <xf numFmtId="0" fontId="7" fillId="0" borderId="42" xfId="0" applyFont="1" applyFill="1" applyBorder="1" applyAlignment="1">
      <alignment horizontal="center" vertical="center"/>
    </xf>
    <xf numFmtId="0" fontId="7" fillId="0" borderId="74" xfId="0" applyFont="1" applyFill="1" applyBorder="1" applyAlignment="1">
      <alignment horizontal="center" vertical="center"/>
    </xf>
    <xf numFmtId="0" fontId="7" fillId="0" borderId="47" xfId="0" applyFont="1" applyFill="1" applyBorder="1" applyAlignment="1">
      <alignment horizontal="right" vertical="center"/>
    </xf>
    <xf numFmtId="0" fontId="7" fillId="0" borderId="49" xfId="0" applyFont="1" applyFill="1" applyBorder="1" applyAlignment="1">
      <alignment horizontal="right" vertical="center"/>
    </xf>
    <xf numFmtId="0" fontId="3" fillId="0" borderId="0" xfId="0" applyFont="1" applyBorder="1" applyAlignment="1">
      <alignment horizontal="center" vertical="center"/>
    </xf>
    <xf numFmtId="1" fontId="0" fillId="0" borderId="32" xfId="0" applyNumberFormat="1" applyFill="1" applyBorder="1" applyAlignment="1">
      <alignment horizontal="center" vertical="center"/>
    </xf>
    <xf numFmtId="0" fontId="13" fillId="12" borderId="61" xfId="0" applyFont="1" applyFill="1" applyBorder="1" applyAlignment="1">
      <alignment horizontal="center"/>
    </xf>
    <xf numFmtId="0" fontId="13" fillId="12" borderId="63" xfId="0" applyFont="1" applyFill="1" applyBorder="1" applyAlignment="1">
      <alignment horizontal="center"/>
    </xf>
    <xf numFmtId="0" fontId="13" fillId="12" borderId="65" xfId="0" applyFont="1" applyFill="1"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1" fontId="0" fillId="0" borderId="42" xfId="0" applyNumberFormat="1" applyBorder="1" applyAlignment="1">
      <alignment horizontal="center" vertical="center" textRotation="90"/>
    </xf>
    <xf numFmtId="1" fontId="0" fillId="0" borderId="43" xfId="0" applyNumberFormat="1" applyBorder="1" applyAlignment="1">
      <alignment horizontal="center" vertical="center" textRotation="90"/>
    </xf>
    <xf numFmtId="1" fontId="0" fillId="0" borderId="47" xfId="0" applyNumberFormat="1" applyBorder="1" applyAlignment="1">
      <alignment horizontal="center" vertical="center" textRotation="90"/>
    </xf>
    <xf numFmtId="1" fontId="0" fillId="0" borderId="35" xfId="0" applyNumberFormat="1" applyBorder="1" applyAlignment="1">
      <alignment horizontal="center" vertical="center" textRotation="90"/>
    </xf>
    <xf numFmtId="1" fontId="0" fillId="0" borderId="4" xfId="0" applyNumberFormat="1" applyBorder="1" applyAlignment="1">
      <alignment horizontal="center" vertical="center"/>
    </xf>
    <xf numFmtId="1" fontId="0" fillId="0" borderId="0" xfId="0" applyNumberFormat="1" applyBorder="1" applyAlignment="1">
      <alignment horizontal="center" vertical="center"/>
    </xf>
    <xf numFmtId="1" fontId="0" fillId="0" borderId="4" xfId="0" applyNumberFormat="1" applyFill="1" applyBorder="1" applyAlignment="1">
      <alignment horizontal="center" vertical="center"/>
    </xf>
    <xf numFmtId="1" fontId="0" fillId="0" borderId="44" xfId="0" applyNumberFormat="1" applyFill="1" applyBorder="1" applyAlignment="1">
      <alignment horizontal="center" vertical="center"/>
    </xf>
    <xf numFmtId="1" fontId="0" fillId="0" borderId="0" xfId="0" applyNumberFormat="1" applyFill="1" applyBorder="1" applyAlignment="1">
      <alignment horizontal="center" vertical="center"/>
    </xf>
    <xf numFmtId="1" fontId="0" fillId="0" borderId="60" xfId="0" applyNumberFormat="1" applyFill="1" applyBorder="1" applyAlignment="1">
      <alignment horizontal="center" vertical="center"/>
    </xf>
    <xf numFmtId="1" fontId="0" fillId="0" borderId="39" xfId="0" applyNumberFormat="1" applyFill="1" applyBorder="1" applyAlignment="1">
      <alignment horizontal="center" vertical="center"/>
    </xf>
    <xf numFmtId="0" fontId="0" fillId="14" borderId="11" xfId="0" applyFill="1" applyBorder="1" applyAlignment="1">
      <alignment horizontal="right" vertical="center"/>
    </xf>
    <xf numFmtId="0" fontId="0" fillId="0" borderId="1" xfId="0" applyBorder="1" applyAlignment="1">
      <alignment horizontal="right" vertical="center"/>
    </xf>
    <xf numFmtId="0" fontId="0" fillId="0" borderId="6" xfId="0" applyBorder="1" applyAlignment="1">
      <alignment horizontal="right" vertical="center"/>
    </xf>
    <xf numFmtId="0" fontId="0" fillId="0" borderId="9" xfId="0" applyBorder="1" applyAlignment="1">
      <alignment horizontal="right" vertical="center"/>
    </xf>
    <xf numFmtId="0" fontId="0" fillId="14" borderId="6" xfId="0" applyFill="1" applyBorder="1" applyAlignment="1">
      <alignment horizontal="right" vertical="center"/>
    </xf>
    <xf numFmtId="0" fontId="0" fillId="14" borderId="9" xfId="0" applyFill="1" applyBorder="1" applyAlignment="1">
      <alignment horizontal="right" vertical="center"/>
    </xf>
    <xf numFmtId="1" fontId="0" fillId="0" borderId="73" xfId="0" applyNumberFormat="1" applyFill="1" applyBorder="1" applyAlignment="1">
      <alignment horizontal="center" vertical="center" textRotation="89"/>
    </xf>
    <xf numFmtId="1" fontId="0" fillId="0" borderId="55" xfId="0" applyNumberFormat="1" applyFill="1" applyBorder="1" applyAlignment="1">
      <alignment horizontal="center" vertical="center" textRotation="89"/>
    </xf>
    <xf numFmtId="1" fontId="0" fillId="0" borderId="46" xfId="0" applyNumberFormat="1" applyFill="1" applyBorder="1" applyAlignment="1">
      <alignment horizontal="center" vertical="center" textRotation="89"/>
    </xf>
    <xf numFmtId="1" fontId="0" fillId="0" borderId="24" xfId="0" applyNumberFormat="1" applyFill="1" applyBorder="1" applyAlignment="1">
      <alignment horizontal="center" vertical="center"/>
    </xf>
    <xf numFmtId="1" fontId="0" fillId="3" borderId="75" xfId="0" applyNumberFormat="1" applyFill="1" applyBorder="1" applyAlignment="1">
      <alignment horizontal="center" vertical="center"/>
    </xf>
    <xf numFmtId="1" fontId="0" fillId="3" borderId="62" xfId="0" applyNumberFormat="1" applyFill="1" applyBorder="1" applyAlignment="1">
      <alignment horizontal="center" vertical="center"/>
    </xf>
    <xf numFmtId="0" fontId="0" fillId="0" borderId="1" xfId="0" applyBorder="1" applyAlignment="1">
      <alignment horizontal="center"/>
    </xf>
    <xf numFmtId="0" fontId="0" fillId="0" borderId="79" xfId="0" applyFill="1" applyBorder="1" applyAlignment="1">
      <alignment horizontal="right" vertical="center"/>
    </xf>
    <xf numFmtId="0" fontId="0" fillId="14" borderId="80" xfId="0" applyFill="1" applyBorder="1" applyAlignment="1">
      <alignment horizontal="right" vertical="center"/>
    </xf>
    <xf numFmtId="0" fontId="0" fillId="14" borderId="81" xfId="0" applyFill="1" applyBorder="1" applyAlignment="1">
      <alignment horizontal="right" vertical="center"/>
    </xf>
    <xf numFmtId="0" fontId="0" fillId="0" borderId="10" xfId="0" applyBorder="1" applyAlignment="1">
      <alignment horizontal="right" vertical="center"/>
    </xf>
    <xf numFmtId="0" fontId="0" fillId="14" borderId="1" xfId="0" applyFill="1" applyBorder="1" applyAlignment="1">
      <alignment horizontal="right" vertical="center"/>
    </xf>
    <xf numFmtId="0" fontId="0" fillId="8" borderId="6" xfId="0" applyFill="1" applyBorder="1" applyAlignment="1">
      <alignment horizontal="right"/>
    </xf>
    <xf numFmtId="0" fontId="0" fillId="8" borderId="49" xfId="0" applyFill="1" applyBorder="1" applyAlignment="1">
      <alignment horizontal="right"/>
    </xf>
    <xf numFmtId="0" fontId="0" fillId="8" borderId="9" xfId="0" applyFill="1" applyBorder="1" applyAlignment="1">
      <alignment horizontal="right"/>
    </xf>
    <xf numFmtId="2" fontId="3" fillId="0" borderId="5" xfId="0" applyNumberFormat="1" applyFont="1" applyBorder="1" applyAlignment="1">
      <alignment horizontal="center" vertical="center"/>
    </xf>
    <xf numFmtId="2" fontId="3" fillId="0" borderId="27" xfId="0" applyNumberFormat="1" applyFont="1" applyBorder="1" applyAlignment="1">
      <alignment horizontal="center" vertical="center"/>
    </xf>
    <xf numFmtId="1" fontId="0" fillId="0" borderId="78" xfId="0" applyNumberFormat="1" applyFill="1" applyBorder="1" applyAlignment="1">
      <alignment horizontal="center" vertical="center"/>
    </xf>
    <xf numFmtId="1" fontId="0" fillId="0" borderId="83" xfId="0" applyNumberFormat="1" applyFill="1" applyBorder="1" applyAlignment="1">
      <alignment horizontal="center" vertical="center"/>
    </xf>
    <xf numFmtId="1" fontId="0" fillId="0" borderId="17" xfId="0" applyNumberFormat="1" applyFill="1" applyBorder="1" applyAlignment="1">
      <alignment horizontal="center" vertical="center"/>
    </xf>
    <xf numFmtId="1" fontId="0" fillId="0" borderId="15" xfId="0" applyNumberFormat="1" applyFill="1" applyBorder="1" applyAlignment="1">
      <alignment horizontal="center" vertical="center"/>
    </xf>
    <xf numFmtId="1" fontId="0" fillId="0" borderId="43" xfId="0" applyNumberFormat="1" applyFill="1" applyBorder="1" applyAlignment="1">
      <alignment horizontal="center" vertical="center"/>
    </xf>
    <xf numFmtId="1" fontId="0" fillId="0" borderId="23" xfId="0" applyNumberFormat="1" applyFill="1" applyBorder="1" applyAlignment="1">
      <alignment horizontal="center" vertical="center"/>
    </xf>
    <xf numFmtId="1" fontId="0" fillId="0" borderId="3" xfId="0" applyNumberFormat="1" applyFill="1" applyBorder="1" applyAlignment="1">
      <alignment horizontal="center" vertical="center"/>
    </xf>
    <xf numFmtId="1" fontId="0" fillId="0" borderId="5" xfId="0" applyNumberFormat="1" applyFill="1" applyBorder="1" applyAlignment="1">
      <alignment horizontal="center" vertical="center"/>
    </xf>
    <xf numFmtId="1" fontId="0" fillId="21" borderId="59" xfId="0" applyNumberFormat="1" applyFill="1" applyBorder="1" applyAlignment="1">
      <alignment horizontal="center" vertical="center"/>
    </xf>
    <xf numFmtId="1" fontId="0" fillId="21" borderId="75" xfId="0" applyNumberFormat="1" applyFill="1" applyBorder="1" applyAlignment="1">
      <alignment horizontal="center" vertical="center"/>
    </xf>
    <xf numFmtId="1" fontId="0" fillId="21" borderId="62" xfId="0" applyNumberFormat="1" applyFill="1" applyBorder="1" applyAlignment="1">
      <alignment horizontal="center" vertical="center"/>
    </xf>
    <xf numFmtId="1" fontId="0" fillId="0" borderId="1" xfId="0" applyNumberFormat="1" applyFill="1" applyBorder="1" applyAlignment="1">
      <alignment horizontal="center" vertical="center"/>
    </xf>
    <xf numFmtId="1" fontId="0" fillId="0" borderId="7" xfId="0" applyNumberFormat="1" applyFill="1" applyBorder="1" applyAlignment="1">
      <alignment horizontal="center" vertical="center"/>
    </xf>
    <xf numFmtId="0" fontId="6" fillId="0" borderId="35" xfId="0" applyFont="1" applyFill="1" applyBorder="1" applyAlignment="1">
      <alignment horizontal="right" vertical="center"/>
    </xf>
    <xf numFmtId="0" fontId="6" fillId="0" borderId="32" xfId="0" applyFont="1" applyFill="1" applyBorder="1" applyAlignment="1">
      <alignment horizontal="right" vertical="center"/>
    </xf>
    <xf numFmtId="0" fontId="0" fillId="0" borderId="73" xfId="0" applyBorder="1" applyAlignment="1">
      <alignment horizontal="center" vertical="center" textRotation="90" wrapText="1"/>
    </xf>
    <xf numFmtId="0" fontId="0" fillId="0" borderId="55" xfId="0" applyBorder="1" applyAlignment="1">
      <alignment horizontal="center" vertical="center" textRotation="90" wrapText="1"/>
    </xf>
    <xf numFmtId="0" fontId="0" fillId="0" borderId="46" xfId="0" applyBorder="1" applyAlignment="1">
      <alignment horizontal="center" vertical="center" textRotation="90" wrapText="1"/>
    </xf>
    <xf numFmtId="0" fontId="0" fillId="11" borderId="58" xfId="0" applyFill="1" applyBorder="1" applyAlignment="1">
      <alignment horizontal="center" vertical="center"/>
    </xf>
    <xf numFmtId="0" fontId="0" fillId="11" borderId="37" xfId="0"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11" borderId="2" xfId="0" applyFill="1" applyBorder="1" applyAlignment="1">
      <alignment horizontal="center" vertical="center"/>
    </xf>
    <xf numFmtId="0" fontId="0" fillId="11" borderId="1" xfId="0" applyFill="1" applyBorder="1" applyAlignment="1">
      <alignment horizontal="center" vertical="center"/>
    </xf>
    <xf numFmtId="0" fontId="0" fillId="0" borderId="8" xfId="0" applyBorder="1" applyAlignment="1">
      <alignment horizontal="center" vertical="center"/>
    </xf>
    <xf numFmtId="0" fontId="0" fillId="0" borderId="33" xfId="0" applyBorder="1" applyAlignment="1">
      <alignment horizontal="center" vertical="center"/>
    </xf>
    <xf numFmtId="0" fontId="0" fillId="11" borderId="48" xfId="0" applyFill="1" applyBorder="1" applyAlignment="1">
      <alignment horizontal="center" vertical="center"/>
    </xf>
    <xf numFmtId="0" fontId="0" fillId="0" borderId="9" xfId="0" applyBorder="1" applyAlignment="1">
      <alignment horizontal="center" vertical="center"/>
    </xf>
    <xf numFmtId="0" fontId="0" fillId="11" borderId="9" xfId="0" applyFill="1" applyBorder="1" applyAlignment="1">
      <alignment horizontal="center" vertical="center"/>
    </xf>
    <xf numFmtId="0" fontId="0" fillId="0" borderId="31" xfId="0" applyBorder="1" applyAlignment="1">
      <alignment horizontal="center" vertical="center"/>
    </xf>
    <xf numFmtId="0" fontId="0" fillId="0" borderId="51" xfId="0" applyBorder="1" applyAlignment="1">
      <alignment horizontal="right" vertical="center"/>
    </xf>
    <xf numFmtId="0" fontId="0" fillId="0" borderId="52" xfId="0" applyBorder="1" applyAlignment="1">
      <alignment horizontal="right" vertical="center"/>
    </xf>
    <xf numFmtId="0" fontId="0" fillId="0" borderId="61" xfId="0" applyBorder="1" applyAlignment="1">
      <alignment horizontal="right" vertical="center"/>
    </xf>
    <xf numFmtId="0" fontId="0" fillId="0" borderId="53" xfId="0" applyBorder="1" applyAlignment="1">
      <alignment horizontal="right" vertical="center"/>
    </xf>
    <xf numFmtId="0" fontId="0" fillId="0" borderId="63" xfId="0" applyBorder="1" applyAlignment="1">
      <alignment horizontal="center"/>
    </xf>
    <xf numFmtId="1" fontId="0" fillId="0" borderId="77" xfId="0" applyNumberFormat="1" applyBorder="1" applyAlignment="1">
      <alignment horizontal="center" vertical="center" textRotation="89"/>
    </xf>
    <xf numFmtId="1" fontId="0" fillId="0" borderId="82" xfId="0" applyNumberFormat="1" applyBorder="1" applyAlignment="1">
      <alignment horizontal="center" vertical="center" textRotation="89"/>
    </xf>
    <xf numFmtId="1" fontId="0" fillId="0" borderId="17" xfId="0" applyNumberFormat="1" applyFill="1" applyBorder="1" applyAlignment="1">
      <alignment horizontal="center" vertical="center" textRotation="89"/>
    </xf>
    <xf numFmtId="1" fontId="0" fillId="0" borderId="38" xfId="0" applyNumberFormat="1" applyFill="1" applyBorder="1" applyAlignment="1">
      <alignment horizontal="center" vertical="center" textRotation="89"/>
    </xf>
    <xf numFmtId="1" fontId="0" fillId="21" borderId="2" xfId="0" applyNumberFormat="1" applyFill="1" applyBorder="1" applyAlignment="1">
      <alignment horizontal="center" vertical="center"/>
    </xf>
    <xf numFmtId="1" fontId="0" fillId="0" borderId="73" xfId="0" applyNumberFormat="1" applyBorder="1" applyAlignment="1">
      <alignment horizontal="center" vertical="center" textRotation="90"/>
    </xf>
    <xf numFmtId="1" fontId="0" fillId="0" borderId="55" xfId="0" applyNumberFormat="1" applyBorder="1" applyAlignment="1">
      <alignment horizontal="center" vertical="center" textRotation="90"/>
    </xf>
    <xf numFmtId="1" fontId="0" fillId="0" borderId="46" xfId="0" applyNumberFormat="1" applyBorder="1" applyAlignment="1">
      <alignment horizontal="center" vertical="center" textRotation="90"/>
    </xf>
    <xf numFmtId="0" fontId="7" fillId="0" borderId="0" xfId="0" applyFont="1" applyFill="1" applyBorder="1" applyAlignment="1">
      <alignment horizontal="right" vertical="center"/>
    </xf>
    <xf numFmtId="0" fontId="0" fillId="0" borderId="1" xfId="0" applyFill="1" applyBorder="1" applyAlignment="1">
      <alignment horizontal="center"/>
    </xf>
    <xf numFmtId="0" fontId="3" fillId="8" borderId="6" xfId="0" applyFont="1" applyFill="1" applyBorder="1" applyAlignment="1">
      <alignment horizontal="right" vertical="center"/>
    </xf>
    <xf numFmtId="0" fontId="3" fillId="8" borderId="49" xfId="0" applyFont="1" applyFill="1" applyBorder="1" applyAlignment="1">
      <alignment horizontal="right" vertical="center"/>
    </xf>
    <xf numFmtId="0" fontId="3" fillId="8" borderId="9" xfId="0" applyFont="1" applyFill="1" applyBorder="1" applyAlignment="1">
      <alignment horizontal="right" vertical="center"/>
    </xf>
    <xf numFmtId="0" fontId="14" fillId="11" borderId="1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10" xfId="0" applyBorder="1" applyAlignment="1">
      <alignment horizontal="center"/>
    </xf>
    <xf numFmtId="0" fontId="0" fillId="15" borderId="0" xfId="0" applyFill="1" applyAlignment="1">
      <alignment horizontal="center"/>
    </xf>
    <xf numFmtId="0" fontId="0" fillId="9" borderId="59" xfId="0" applyFill="1" applyBorder="1" applyAlignment="1">
      <alignment horizontal="right" vertical="center"/>
    </xf>
    <xf numFmtId="0" fontId="0" fillId="9" borderId="10" xfId="0" applyFill="1" applyBorder="1" applyAlignment="1">
      <alignment horizontal="right" vertical="center"/>
    </xf>
    <xf numFmtId="2" fontId="0" fillId="9" borderId="22" xfId="0" applyNumberFormat="1" applyFill="1" applyBorder="1" applyAlignment="1">
      <alignment horizontal="center" vertical="center"/>
    </xf>
    <xf numFmtId="2" fontId="0" fillId="9" borderId="76" xfId="0" applyNumberFormat="1" applyFill="1" applyBorder="1" applyAlignment="1">
      <alignment horizontal="center" vertical="center"/>
    </xf>
    <xf numFmtId="0" fontId="0" fillId="9" borderId="16" xfId="0" applyFill="1" applyBorder="1" applyAlignment="1">
      <alignment horizontal="center" vertical="center"/>
    </xf>
    <xf numFmtId="0" fontId="3" fillId="0" borderId="0" xfId="0" applyFont="1" applyAlignment="1">
      <alignment horizontal="left" vertical="center"/>
    </xf>
    <xf numFmtId="0" fontId="0" fillId="0" borderId="51" xfId="0" applyBorder="1" applyAlignment="1">
      <alignment horizontal="right"/>
    </xf>
    <xf numFmtId="0" fontId="0" fillId="0" borderId="52" xfId="0" applyBorder="1" applyAlignment="1">
      <alignment horizontal="right"/>
    </xf>
    <xf numFmtId="0" fontId="13" fillId="9" borderId="61" xfId="0" applyFont="1" applyFill="1" applyBorder="1" applyAlignment="1">
      <alignment horizontal="center"/>
    </xf>
    <xf numFmtId="0" fontId="13" fillId="9" borderId="63" xfId="0" applyFont="1" applyFill="1" applyBorder="1" applyAlignment="1">
      <alignment horizontal="center"/>
    </xf>
    <xf numFmtId="0" fontId="13" fillId="9" borderId="65" xfId="0" applyFont="1" applyFill="1" applyBorder="1" applyAlignment="1">
      <alignment horizontal="center"/>
    </xf>
    <xf numFmtId="0" fontId="0" fillId="0" borderId="64" xfId="0" applyBorder="1" applyAlignment="1">
      <alignment horizontal="center"/>
    </xf>
    <xf numFmtId="0" fontId="0" fillId="0" borderId="53" xfId="0" applyBorder="1" applyAlignment="1">
      <alignment horizontal="center"/>
    </xf>
    <xf numFmtId="1" fontId="0" fillId="0" borderId="3" xfId="0" applyNumberFormat="1" applyFill="1" applyBorder="1" applyAlignment="1">
      <alignment horizontal="center" vertical="center" textRotation="89"/>
    </xf>
    <xf numFmtId="1" fontId="0" fillId="22" borderId="58" xfId="0" applyNumberFormat="1" applyFill="1" applyBorder="1" applyAlignment="1">
      <alignment horizontal="center" vertical="center"/>
    </xf>
    <xf numFmtId="1" fontId="0" fillId="22" borderId="2" xfId="0" applyNumberFormat="1" applyFill="1" applyBorder="1" applyAlignment="1">
      <alignment horizontal="center" vertical="center"/>
    </xf>
    <xf numFmtId="1" fontId="0" fillId="0" borderId="42" xfId="0" applyNumberFormat="1" applyFill="1" applyBorder="1" applyAlignment="1">
      <alignment horizontal="center" vertical="center"/>
    </xf>
    <xf numFmtId="1" fontId="0" fillId="0" borderId="29" xfId="0" applyNumberFormat="1" applyFill="1" applyBorder="1" applyAlignment="1">
      <alignment horizontal="center" vertical="center"/>
    </xf>
    <xf numFmtId="0" fontId="0" fillId="0" borderId="0" xfId="0" applyBorder="1" applyAlignment="1">
      <alignment horizontal="center"/>
    </xf>
    <xf numFmtId="0" fontId="0" fillId="0" borderId="20" xfId="0" applyBorder="1" applyAlignment="1">
      <alignment horizontal="center"/>
    </xf>
    <xf numFmtId="1" fontId="0" fillId="22" borderId="59" xfId="0" applyNumberFormat="1" applyFill="1" applyBorder="1" applyAlignment="1">
      <alignment horizontal="center" vertical="center"/>
    </xf>
    <xf numFmtId="1" fontId="0" fillId="22" borderId="75" xfId="0" applyNumberFormat="1" applyFill="1" applyBorder="1" applyAlignment="1">
      <alignment horizontal="center" vertical="center"/>
    </xf>
    <xf numFmtId="1" fontId="0" fillId="22" borderId="62" xfId="0" applyNumberFormat="1" applyFill="1" applyBorder="1" applyAlignment="1">
      <alignment horizontal="center" vertical="center"/>
    </xf>
    <xf numFmtId="0" fontId="0" fillId="0" borderId="0" xfId="0" applyFill="1" applyBorder="1" applyAlignment="1">
      <alignment horizontal="center" vertical="center"/>
    </xf>
    <xf numFmtId="1" fontId="0" fillId="14" borderId="59" xfId="0" applyNumberFormat="1" applyFill="1" applyBorder="1" applyAlignment="1">
      <alignment horizontal="center" vertical="center"/>
    </xf>
    <xf numFmtId="1" fontId="0" fillId="14" borderId="75" xfId="0" applyNumberFormat="1" applyFill="1" applyBorder="1" applyAlignment="1">
      <alignment horizontal="center" vertical="center"/>
    </xf>
    <xf numFmtId="1" fontId="0" fillId="14" borderId="71" xfId="0" applyNumberFormat="1" applyFill="1" applyBorder="1" applyAlignment="1">
      <alignment horizontal="center" vertical="center"/>
    </xf>
    <xf numFmtId="1" fontId="0" fillId="0" borderId="10" xfId="0" applyNumberFormat="1" applyFill="1" applyBorder="1" applyAlignment="1">
      <alignment horizontal="center" vertical="center"/>
    </xf>
    <xf numFmtId="1" fontId="0" fillId="0" borderId="12" xfId="0" applyNumberFormat="1" applyFill="1" applyBorder="1" applyAlignment="1">
      <alignment horizontal="center" vertical="center"/>
    </xf>
    <xf numFmtId="1" fontId="0" fillId="0" borderId="72" xfId="0" applyNumberFormat="1" applyFill="1" applyBorder="1" applyAlignment="1">
      <alignment horizontal="center" vertical="center"/>
    </xf>
    <xf numFmtId="1" fontId="0" fillId="0" borderId="50" xfId="0" applyNumberFormat="1" applyFill="1" applyBorder="1" applyAlignment="1">
      <alignment horizontal="center" vertical="center"/>
    </xf>
    <xf numFmtId="1" fontId="0" fillId="0" borderId="76" xfId="0" applyNumberFormat="1" applyFill="1" applyBorder="1" applyAlignment="1">
      <alignment horizontal="center" vertical="center"/>
    </xf>
    <xf numFmtId="1" fontId="0" fillId="0" borderId="25" xfId="0" applyNumberFormat="1" applyFill="1" applyBorder="1" applyAlignment="1">
      <alignment horizontal="center" vertical="center"/>
    </xf>
    <xf numFmtId="1" fontId="0" fillId="0" borderId="59" xfId="0" applyNumberFormat="1" applyFill="1" applyBorder="1" applyAlignment="1">
      <alignment horizontal="center" vertical="center"/>
    </xf>
    <xf numFmtId="1" fontId="0" fillId="0" borderId="75" xfId="0" applyNumberFormat="1" applyFill="1" applyBorder="1" applyAlignment="1">
      <alignment horizontal="center" vertical="center"/>
    </xf>
    <xf numFmtId="1" fontId="0" fillId="0" borderId="71" xfId="0" applyNumberFormat="1" applyFill="1" applyBorder="1" applyAlignment="1">
      <alignment horizontal="center" vertical="center"/>
    </xf>
    <xf numFmtId="4" fontId="0" fillId="0" borderId="50" xfId="0" applyNumberFormat="1" applyFill="1" applyBorder="1" applyAlignment="1">
      <alignment horizontal="center" vertical="center"/>
    </xf>
    <xf numFmtId="4" fontId="0" fillId="0" borderId="76" xfId="0" applyNumberFormat="1" applyFill="1" applyBorder="1" applyAlignment="1">
      <alignment horizontal="center" vertical="center"/>
    </xf>
    <xf numFmtId="4" fontId="0" fillId="0" borderId="25" xfId="0" applyNumberForma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1" fontId="0" fillId="0" borderId="62" xfId="0" applyNumberFormat="1" applyFill="1" applyBorder="1" applyAlignment="1">
      <alignment horizontal="center" vertical="center"/>
    </xf>
    <xf numFmtId="1" fontId="0" fillId="0" borderId="11" xfId="0" applyNumberFormat="1" applyFill="1" applyBorder="1" applyAlignment="1">
      <alignment horizontal="center" vertical="center"/>
    </xf>
    <xf numFmtId="0" fontId="0" fillId="0" borderId="3" xfId="0" applyBorder="1" applyAlignment="1">
      <alignment horizontal="center" vertical="center" textRotation="90" wrapText="1"/>
    </xf>
    <xf numFmtId="0" fontId="0" fillId="0" borderId="17" xfId="0" applyBorder="1" applyAlignment="1">
      <alignment horizontal="center" vertical="center" textRotation="90" wrapText="1"/>
    </xf>
    <xf numFmtId="0" fontId="0" fillId="0" borderId="38" xfId="0" applyBorder="1" applyAlignment="1">
      <alignment horizontal="center" vertical="center" textRotation="90" wrapText="1"/>
    </xf>
    <xf numFmtId="0" fontId="0" fillId="0" borderId="1" xfId="0" applyBorder="1" applyAlignment="1">
      <alignment horizontal="right"/>
    </xf>
    <xf numFmtId="2" fontId="0" fillId="0" borderId="17" xfId="0" applyNumberFormat="1" applyBorder="1" applyAlignment="1">
      <alignment horizontal="center" vertical="center"/>
    </xf>
    <xf numFmtId="1" fontId="0" fillId="14" borderId="2" xfId="0" applyNumberFormat="1" applyFill="1" applyBorder="1" applyAlignment="1">
      <alignment horizontal="center" vertical="center"/>
    </xf>
    <xf numFmtId="1" fontId="0" fillId="0" borderId="59" xfId="0" applyNumberFormat="1" applyFill="1" applyBorder="1" applyAlignment="1">
      <alignment horizontal="center" vertical="center" textRotation="89"/>
    </xf>
    <xf numFmtId="1" fontId="0" fillId="0" borderId="75" xfId="0" applyNumberFormat="1" applyFill="1" applyBorder="1" applyAlignment="1">
      <alignment horizontal="center" vertical="center" textRotation="89"/>
    </xf>
    <xf numFmtId="1" fontId="0" fillId="0" borderId="62" xfId="0" applyNumberFormat="1" applyFill="1" applyBorder="1" applyAlignment="1">
      <alignment horizontal="center" vertical="center" textRotation="89"/>
    </xf>
    <xf numFmtId="1" fontId="0" fillId="14" borderId="68" xfId="0" applyNumberFormat="1" applyFill="1" applyBorder="1" applyAlignment="1">
      <alignment horizontal="center" vertical="center"/>
    </xf>
    <xf numFmtId="1" fontId="0" fillId="14" borderId="62" xfId="0" applyNumberFormat="1" applyFill="1" applyBorder="1" applyAlignment="1">
      <alignment horizontal="center" vertical="center"/>
    </xf>
    <xf numFmtId="4" fontId="0" fillId="0" borderId="7" xfId="0" applyNumberFormat="1" applyFill="1" applyBorder="1" applyAlignment="1">
      <alignment horizontal="center" vertical="center"/>
    </xf>
    <xf numFmtId="0" fontId="0" fillId="0" borderId="73" xfId="0" applyBorder="1" applyAlignment="1">
      <alignment horizontal="center"/>
    </xf>
    <xf numFmtId="0" fontId="0" fillId="0" borderId="55" xfId="0" applyBorder="1" applyAlignment="1">
      <alignment horizontal="center"/>
    </xf>
    <xf numFmtId="0" fontId="0" fillId="0" borderId="46" xfId="0" applyBorder="1" applyAlignment="1">
      <alignment horizontal="center"/>
    </xf>
    <xf numFmtId="0" fontId="0" fillId="0" borderId="1" xfId="0" applyFill="1" applyBorder="1" applyAlignment="1">
      <alignment horizontal="right" vertical="center"/>
    </xf>
    <xf numFmtId="1" fontId="0" fillId="0" borderId="43" xfId="0" applyNumberFormat="1" applyFill="1" applyBorder="1" applyAlignment="1">
      <alignment horizontal="center" vertical="center" textRotation="89"/>
    </xf>
    <xf numFmtId="165" fontId="0" fillId="0" borderId="12" xfId="0" applyNumberFormat="1" applyFill="1" applyBorder="1" applyAlignment="1">
      <alignment horizontal="center" vertical="center"/>
    </xf>
    <xf numFmtId="1" fontId="0" fillId="0" borderId="32" xfId="0" applyNumberFormat="1" applyFill="1" applyBorder="1" applyAlignment="1">
      <alignment horizontal="center" vertical="center" wrapText="1"/>
    </xf>
    <xf numFmtId="1" fontId="0" fillId="0" borderId="26" xfId="0" applyNumberFormat="1" applyFill="1" applyBorder="1" applyAlignment="1">
      <alignment horizontal="center" vertical="center" wrapText="1"/>
    </xf>
    <xf numFmtId="1" fontId="0" fillId="0" borderId="70" xfId="0" applyNumberFormat="1" applyBorder="1" applyAlignment="1">
      <alignment horizontal="center" vertical="center" textRotation="89"/>
    </xf>
    <xf numFmtId="1" fontId="0" fillId="0" borderId="74" xfId="0" applyNumberFormat="1" applyFill="1" applyBorder="1" applyAlignment="1">
      <alignment horizontal="center" vertical="center"/>
    </xf>
    <xf numFmtId="1" fontId="0" fillId="0" borderId="78" xfId="0" applyNumberFormat="1" applyBorder="1" applyAlignment="1">
      <alignment horizontal="center" vertical="center" textRotation="89"/>
    </xf>
    <xf numFmtId="1" fontId="0" fillId="0" borderId="38" xfId="0" applyNumberFormat="1" applyBorder="1" applyAlignment="1">
      <alignment horizontal="center" vertical="center" textRotation="89"/>
    </xf>
    <xf numFmtId="1" fontId="0" fillId="0" borderId="77" xfId="0" applyNumberFormat="1" applyBorder="1" applyAlignment="1">
      <alignment horizontal="center" vertical="center" textRotation="90"/>
    </xf>
    <xf numFmtId="1" fontId="0" fillId="0" borderId="69" xfId="0" applyNumberFormat="1" applyBorder="1" applyAlignment="1">
      <alignment horizontal="center" vertical="center" textRotation="90"/>
    </xf>
    <xf numFmtId="1" fontId="0" fillId="0" borderId="70" xfId="0" applyNumberFormat="1" applyBorder="1" applyAlignment="1">
      <alignment horizontal="center" vertical="center" textRotation="90"/>
    </xf>
    <xf numFmtId="0" fontId="3" fillId="0" borderId="61" xfId="0" applyFont="1" applyFill="1" applyBorder="1" applyAlignment="1">
      <alignment horizontal="center"/>
    </xf>
    <xf numFmtId="0" fontId="3" fillId="0" borderId="63" xfId="0" applyFont="1" applyFill="1" applyBorder="1" applyAlignment="1">
      <alignment horizontal="center"/>
    </xf>
    <xf numFmtId="0" fontId="3" fillId="0" borderId="65" xfId="0" applyFont="1" applyFill="1" applyBorder="1" applyAlignment="1">
      <alignment horizontal="center"/>
    </xf>
    <xf numFmtId="4" fontId="0" fillId="0" borderId="36" xfId="0" applyNumberFormat="1" applyFill="1" applyBorder="1" applyAlignment="1">
      <alignment horizontal="center" vertical="center"/>
    </xf>
    <xf numFmtId="4" fontId="0" fillId="0" borderId="76" xfId="0" applyNumberFormat="1" applyBorder="1" applyAlignment="1">
      <alignment horizontal="center" vertical="center"/>
    </xf>
    <xf numFmtId="4" fontId="0" fillId="0" borderId="25" xfId="0" applyNumberFormat="1" applyBorder="1" applyAlignment="1">
      <alignment horizontal="center" vertical="center"/>
    </xf>
    <xf numFmtId="0" fontId="0" fillId="0" borderId="38"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horizontal="center"/>
    </xf>
    <xf numFmtId="4" fontId="0" fillId="0" borderId="6" xfId="0" applyNumberFormat="1" applyFill="1" applyBorder="1" applyAlignment="1">
      <alignment horizontal="center" vertical="center"/>
    </xf>
    <xf numFmtId="4" fontId="0" fillId="0" borderId="9" xfId="0" applyNumberFormat="1" applyFill="1" applyBorder="1" applyAlignment="1">
      <alignment horizontal="center" vertical="center"/>
    </xf>
    <xf numFmtId="4" fontId="0" fillId="0" borderId="6" xfId="0" applyNumberFormat="1" applyFill="1" applyBorder="1" applyAlignment="1">
      <alignment horizontal="center"/>
    </xf>
    <xf numFmtId="4" fontId="0" fillId="0" borderId="9" xfId="0" applyNumberFormat="1" applyFill="1" applyBorder="1" applyAlignment="1">
      <alignment horizontal="center"/>
    </xf>
    <xf numFmtId="0" fontId="7" fillId="0" borderId="43" xfId="0" applyFont="1" applyBorder="1" applyAlignment="1">
      <alignment horizontal="right"/>
    </xf>
    <xf numFmtId="0" fontId="7" fillId="0" borderId="44" xfId="0" applyFont="1" applyBorder="1" applyAlignment="1">
      <alignment horizontal="right"/>
    </xf>
    <xf numFmtId="0" fontId="7" fillId="0" borderId="23" xfId="0" applyFont="1" applyBorder="1" applyAlignment="1">
      <alignment horizontal="right"/>
    </xf>
    <xf numFmtId="0" fontId="7" fillId="0" borderId="47" xfId="0" applyFont="1" applyBorder="1" applyAlignment="1">
      <alignment horizontal="right" vertical="center"/>
    </xf>
    <xf numFmtId="0" fontId="7" fillId="0" borderId="49" xfId="0" applyFont="1" applyBorder="1" applyAlignment="1">
      <alignment horizontal="right" vertical="center"/>
    </xf>
    <xf numFmtId="0" fontId="7" fillId="0" borderId="24" xfId="0" applyFont="1" applyBorder="1" applyAlignment="1">
      <alignment horizontal="right" vertical="center"/>
    </xf>
    <xf numFmtId="4" fontId="6" fillId="0" borderId="44" xfId="0" applyNumberFormat="1" applyFont="1" applyBorder="1" applyAlignment="1">
      <alignment horizontal="right" vertical="center"/>
    </xf>
    <xf numFmtId="4" fontId="6" fillId="0" borderId="23" xfId="0" applyNumberFormat="1" applyFont="1" applyBorder="1" applyAlignment="1">
      <alignment horizontal="right" vertical="center"/>
    </xf>
    <xf numFmtId="4" fontId="6" fillId="0" borderId="49" xfId="0" applyNumberFormat="1" applyFont="1" applyBorder="1" applyAlignment="1">
      <alignment horizontal="right" vertical="center"/>
    </xf>
    <xf numFmtId="4" fontId="6" fillId="0" borderId="24" xfId="0" applyNumberFormat="1" applyFont="1" applyBorder="1" applyAlignment="1">
      <alignment horizontal="right" vertical="center"/>
    </xf>
    <xf numFmtId="0" fontId="7" fillId="0" borderId="35" xfId="0" applyFont="1" applyBorder="1" applyAlignment="1">
      <alignment horizontal="left" vertical="center" wrapText="1"/>
    </xf>
    <xf numFmtId="0" fontId="7" fillId="0" borderId="32" xfId="0" applyFont="1" applyBorder="1" applyAlignment="1">
      <alignment horizontal="left" vertical="center" wrapText="1"/>
    </xf>
    <xf numFmtId="0" fontId="7" fillId="0" borderId="26" xfId="0" applyFont="1" applyBorder="1" applyAlignment="1">
      <alignment horizontal="left" vertical="center" wrapText="1"/>
    </xf>
    <xf numFmtId="4" fontId="6" fillId="0" borderId="32" xfId="0" applyNumberFormat="1" applyFont="1" applyBorder="1" applyAlignment="1">
      <alignment horizontal="right" vertical="center"/>
    </xf>
    <xf numFmtId="4" fontId="6" fillId="0" borderId="26" xfId="0" applyNumberFormat="1" applyFont="1" applyBorder="1" applyAlignment="1">
      <alignment horizontal="right" vertical="center"/>
    </xf>
    <xf numFmtId="0" fontId="0" fillId="0" borderId="6" xfId="0" applyFill="1" applyBorder="1" applyAlignment="1">
      <alignment horizontal="center"/>
    </xf>
    <xf numFmtId="0" fontId="0" fillId="0" borderId="9" xfId="0" applyFill="1" applyBorder="1" applyAlignment="1">
      <alignment horizontal="center"/>
    </xf>
    <xf numFmtId="0" fontId="0" fillId="0" borderId="3" xfId="0" applyBorder="1" applyAlignment="1">
      <alignment horizontal="left" vertical="top" wrapText="1"/>
    </xf>
    <xf numFmtId="0" fontId="0" fillId="0" borderId="67"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13" fillId="16" borderId="61" xfId="0" applyFont="1" applyFill="1" applyBorder="1" applyAlignment="1">
      <alignment horizontal="center"/>
    </xf>
    <xf numFmtId="0" fontId="13" fillId="16" borderId="63" xfId="0" applyFont="1" applyFill="1" applyBorder="1" applyAlignment="1">
      <alignment horizontal="center"/>
    </xf>
    <xf numFmtId="0" fontId="13" fillId="16" borderId="65" xfId="0" applyFont="1" applyFill="1" applyBorder="1" applyAlignment="1">
      <alignment horizontal="center"/>
    </xf>
    <xf numFmtId="0" fontId="0" fillId="0" borderId="43" xfId="0" applyFill="1" applyBorder="1" applyAlignment="1">
      <alignment horizontal="center" vertical="center" textRotation="90"/>
    </xf>
    <xf numFmtId="0" fontId="0" fillId="0" borderId="47" xfId="0" applyFill="1" applyBorder="1" applyAlignment="1">
      <alignment horizontal="center" vertical="center" textRotation="90"/>
    </xf>
    <xf numFmtId="0" fontId="0" fillId="0" borderId="78" xfId="0" applyFill="1" applyBorder="1" applyAlignment="1">
      <alignment horizontal="center" vertical="center" textRotation="90"/>
    </xf>
    <xf numFmtId="0" fontId="0" fillId="0" borderId="35" xfId="0" applyFill="1" applyBorder="1" applyAlignment="1">
      <alignment horizontal="center" vertical="center" textRotation="90"/>
    </xf>
    <xf numFmtId="0" fontId="0" fillId="0" borderId="44" xfId="0" applyFill="1" applyBorder="1" applyAlignment="1">
      <alignment horizontal="center" vertical="center"/>
    </xf>
    <xf numFmtId="0" fontId="0" fillId="0" borderId="49" xfId="0" applyFill="1" applyBorder="1" applyAlignment="1">
      <alignment horizontal="center" vertical="center"/>
    </xf>
    <xf numFmtId="0" fontId="0" fillId="0" borderId="60" xfId="0" applyFill="1" applyBorder="1" applyAlignment="1">
      <alignment horizontal="center" vertical="center"/>
    </xf>
    <xf numFmtId="0" fontId="0" fillId="0" borderId="35"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2" xfId="0" applyFill="1" applyBorder="1" applyAlignment="1">
      <alignment horizontal="center" vertical="center"/>
    </xf>
    <xf numFmtId="0" fontId="0" fillId="0" borderId="64" xfId="0" applyFill="1" applyBorder="1" applyAlignment="1">
      <alignment horizontal="center"/>
    </xf>
    <xf numFmtId="0" fontId="0" fillId="0" borderId="53" xfId="0" applyFill="1" applyBorder="1" applyAlignment="1">
      <alignment horizontal="center"/>
    </xf>
    <xf numFmtId="4" fontId="0" fillId="8" borderId="1" xfId="0" applyNumberFormat="1" applyFill="1" applyBorder="1" applyAlignment="1">
      <alignment horizontal="right"/>
    </xf>
    <xf numFmtId="1" fontId="0" fillId="0" borderId="33" xfId="0" applyNumberFormat="1" applyFill="1" applyBorder="1" applyAlignment="1">
      <alignment horizontal="center" vertical="center"/>
    </xf>
    <xf numFmtId="1" fontId="0" fillId="0" borderId="16" xfId="0" applyNumberFormat="1"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27" xfId="0" applyFont="1" applyFill="1" applyBorder="1" applyAlignment="1">
      <alignment horizontal="center" vertical="center"/>
    </xf>
    <xf numFmtId="0" fontId="7" fillId="0" borderId="43" xfId="0" applyFont="1" applyFill="1" applyBorder="1" applyAlignment="1">
      <alignment horizontal="right" vertical="center"/>
    </xf>
    <xf numFmtId="0" fontId="7" fillId="0" borderId="44" xfId="0" applyFont="1" applyFill="1" applyBorder="1" applyAlignment="1">
      <alignment horizontal="right" vertical="center"/>
    </xf>
    <xf numFmtId="0" fontId="3" fillId="0" borderId="42" xfId="0" applyFont="1" applyFill="1" applyBorder="1" applyAlignment="1">
      <alignment horizontal="right" vertical="center"/>
    </xf>
    <xf numFmtId="0" fontId="3" fillId="0" borderId="74" xfId="0" applyFont="1" applyFill="1" applyBorder="1" applyAlignment="1">
      <alignment horizontal="right" vertical="center"/>
    </xf>
    <xf numFmtId="0" fontId="3" fillId="0" borderId="48" xfId="0" applyFont="1" applyFill="1" applyBorder="1" applyAlignment="1">
      <alignment horizontal="right" vertical="center"/>
    </xf>
    <xf numFmtId="0" fontId="0" fillId="0" borderId="28" xfId="0" applyFill="1" applyBorder="1" applyAlignment="1">
      <alignment horizontal="center" vertical="center"/>
    </xf>
    <xf numFmtId="0" fontId="0" fillId="0" borderId="48" xfId="0" applyFill="1" applyBorder="1" applyAlignment="1">
      <alignment horizontal="center" vertical="center"/>
    </xf>
    <xf numFmtId="0" fontId="3" fillId="0" borderId="35" xfId="0" applyFont="1" applyFill="1" applyBorder="1" applyAlignment="1">
      <alignment horizontal="right" vertical="center"/>
    </xf>
    <xf numFmtId="0" fontId="3" fillId="0" borderId="32" xfId="0" applyFont="1" applyFill="1" applyBorder="1" applyAlignment="1">
      <alignment horizontal="right" vertical="center"/>
    </xf>
    <xf numFmtId="0" fontId="3" fillId="0" borderId="31" xfId="0" applyFont="1" applyFill="1" applyBorder="1" applyAlignment="1">
      <alignment horizontal="right"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17" xfId="0" applyFill="1" applyBorder="1" applyAlignment="1">
      <alignment horizontal="center" vertical="center" textRotation="90"/>
    </xf>
    <xf numFmtId="0" fontId="0" fillId="0" borderId="38" xfId="0" applyFill="1" applyBorder="1" applyAlignment="1">
      <alignment horizontal="right" vertical="center"/>
    </xf>
    <xf numFmtId="0" fontId="0" fillId="0" borderId="39" xfId="0" applyFill="1" applyBorder="1" applyAlignment="1">
      <alignment horizontal="right" vertical="center"/>
    </xf>
    <xf numFmtId="0" fontId="0" fillId="0" borderId="61" xfId="0" applyFill="1" applyBorder="1" applyAlignment="1">
      <alignment horizontal="right" vertical="center"/>
    </xf>
    <xf numFmtId="0" fontId="0" fillId="0" borderId="63" xfId="0" applyFill="1" applyBorder="1" applyAlignment="1">
      <alignment horizontal="right" vertical="center"/>
    </xf>
    <xf numFmtId="0" fontId="3" fillId="0" borderId="43" xfId="0" applyFont="1" applyFill="1" applyBorder="1" applyAlignment="1">
      <alignment horizontal="right" vertical="center"/>
    </xf>
    <xf numFmtId="0" fontId="3" fillId="0" borderId="44" xfId="0" applyFont="1" applyFill="1" applyBorder="1" applyAlignment="1">
      <alignment horizontal="right" vertical="center"/>
    </xf>
    <xf numFmtId="0" fontId="3" fillId="0" borderId="21" xfId="0" applyFont="1" applyFill="1" applyBorder="1" applyAlignment="1">
      <alignment horizontal="righ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0" borderId="35" xfId="0" applyFill="1" applyBorder="1" applyAlignment="1">
      <alignment horizontal="right" vertical="center"/>
    </xf>
    <xf numFmtId="0" fontId="0" fillId="0" borderId="32" xfId="0" applyFill="1" applyBorder="1" applyAlignment="1">
      <alignment horizontal="right" vertical="center"/>
    </xf>
    <xf numFmtId="0" fontId="0" fillId="0" borderId="31" xfId="0" applyFill="1" applyBorder="1" applyAlignment="1">
      <alignment horizontal="right" vertical="center"/>
    </xf>
    <xf numFmtId="4" fontId="0" fillId="0" borderId="59" xfId="0" applyNumberFormat="1" applyFill="1" applyBorder="1" applyAlignment="1">
      <alignment horizontal="center" vertical="center"/>
    </xf>
    <xf numFmtId="4" fontId="0" fillId="0" borderId="71" xfId="0" applyNumberFormat="1" applyFill="1" applyBorder="1" applyAlignment="1">
      <alignment horizontal="center" vertical="center"/>
    </xf>
    <xf numFmtId="4" fontId="3" fillId="0" borderId="17" xfId="0" applyNumberFormat="1" applyFont="1" applyBorder="1" applyAlignment="1">
      <alignment horizontal="center" vertical="center"/>
    </xf>
    <xf numFmtId="0" fontId="0" fillId="0" borderId="63" xfId="0" applyBorder="1" applyAlignment="1">
      <alignment horizontal="right" vertical="center"/>
    </xf>
    <xf numFmtId="4" fontId="0" fillId="15" borderId="50" xfId="0" applyNumberFormat="1" applyFill="1" applyBorder="1" applyAlignment="1">
      <alignment horizontal="center" vertical="center"/>
    </xf>
    <xf numFmtId="4" fontId="0" fillId="15" borderId="25" xfId="0" applyNumberFormat="1" applyFill="1" applyBorder="1" applyAlignment="1">
      <alignment horizontal="center" vertical="center"/>
    </xf>
    <xf numFmtId="0" fontId="0" fillId="0" borderId="47" xfId="0" applyFill="1" applyBorder="1" applyAlignment="1">
      <alignment horizontal="right" vertical="center"/>
    </xf>
    <xf numFmtId="0" fontId="0" fillId="0" borderId="49" xfId="0" applyFill="1" applyBorder="1" applyAlignment="1">
      <alignment horizontal="right" vertical="center"/>
    </xf>
    <xf numFmtId="0" fontId="0" fillId="0" borderId="9" xfId="0" applyFill="1" applyBorder="1" applyAlignment="1">
      <alignment horizontal="right" vertical="center"/>
    </xf>
    <xf numFmtId="0" fontId="6" fillId="0" borderId="78" xfId="0" applyFont="1" applyFill="1" applyBorder="1" applyAlignment="1">
      <alignment horizontal="right" vertical="justify"/>
    </xf>
    <xf numFmtId="0" fontId="6" fillId="0" borderId="60" xfId="0" applyFont="1" applyFill="1" applyBorder="1" applyAlignment="1">
      <alignment horizontal="right" vertical="justify"/>
    </xf>
    <xf numFmtId="0" fontId="3" fillId="0" borderId="47" xfId="0" applyFont="1" applyFill="1" applyBorder="1" applyAlignment="1">
      <alignment horizontal="right" vertical="center"/>
    </xf>
    <xf numFmtId="0" fontId="3" fillId="0" borderId="49" xfId="0" applyFont="1" applyFill="1" applyBorder="1" applyAlignment="1">
      <alignment horizontal="right" vertical="center"/>
    </xf>
    <xf numFmtId="0" fontId="3" fillId="0" borderId="9" xfId="0" applyFont="1" applyFill="1" applyBorder="1" applyAlignment="1">
      <alignment horizontal="right" vertical="center"/>
    </xf>
    <xf numFmtId="0" fontId="0" fillId="0" borderId="47" xfId="0" applyFill="1" applyBorder="1" applyAlignment="1">
      <alignment horizontal="right"/>
    </xf>
    <xf numFmtId="0" fontId="0" fillId="0" borderId="49" xfId="0" applyFill="1" applyBorder="1" applyAlignment="1">
      <alignment horizontal="right"/>
    </xf>
    <xf numFmtId="0" fontId="0" fillId="0" borderId="9" xfId="0" applyFill="1" applyBorder="1" applyAlignment="1">
      <alignment horizontal="right"/>
    </xf>
    <xf numFmtId="0" fontId="0" fillId="0" borderId="28" xfId="0" applyBorder="1" applyAlignment="1">
      <alignment horizontal="center" vertical="center"/>
    </xf>
    <xf numFmtId="0" fontId="0" fillId="0" borderId="48" xfId="0" applyBorder="1" applyAlignment="1">
      <alignment horizontal="center" vertical="center"/>
    </xf>
    <xf numFmtId="0" fontId="0" fillId="0" borderId="49" xfId="0" applyFill="1" applyBorder="1" applyAlignment="1">
      <alignment horizontal="center"/>
    </xf>
    <xf numFmtId="0" fontId="0" fillId="0" borderId="14" xfId="0" applyFill="1" applyBorder="1" applyAlignment="1">
      <alignment horizontal="center" vertical="center"/>
    </xf>
    <xf numFmtId="0" fontId="0" fillId="0" borderId="21" xfId="0" applyFill="1" applyBorder="1" applyAlignment="1">
      <alignment horizontal="center" vertical="center"/>
    </xf>
    <xf numFmtId="0" fontId="6" fillId="0" borderId="0" xfId="0" applyFont="1" applyBorder="1" applyAlignment="1">
      <alignment horizontal="center"/>
    </xf>
    <xf numFmtId="0" fontId="6" fillId="0" borderId="20" xfId="0" applyFont="1" applyBorder="1" applyAlignment="1">
      <alignment horizontal="center"/>
    </xf>
    <xf numFmtId="0" fontId="0" fillId="0" borderId="42" xfId="0" applyFill="1" applyBorder="1" applyAlignment="1">
      <alignment horizontal="center" vertical="center" textRotation="90"/>
    </xf>
    <xf numFmtId="0" fontId="0" fillId="0" borderId="13" xfId="0" applyFill="1" applyBorder="1" applyAlignment="1">
      <alignment horizontal="center"/>
    </xf>
    <xf numFmtId="0" fontId="0" fillId="0" borderId="19" xfId="0" applyFill="1" applyBorder="1" applyAlignment="1">
      <alignment horizontal="center"/>
    </xf>
    <xf numFmtId="0" fontId="0" fillId="0" borderId="77" xfId="0" applyFill="1" applyBorder="1" applyAlignment="1">
      <alignment horizontal="center" vertical="center" textRotation="90"/>
    </xf>
    <xf numFmtId="0" fontId="0" fillId="0" borderId="69" xfId="0" applyFill="1" applyBorder="1" applyAlignment="1">
      <alignment horizontal="center" vertical="center" textRotation="90"/>
    </xf>
    <xf numFmtId="0" fontId="0" fillId="0" borderId="70" xfId="0" applyFill="1" applyBorder="1" applyAlignment="1">
      <alignment horizontal="center" vertical="center" textRotation="90"/>
    </xf>
    <xf numFmtId="0" fontId="0" fillId="0" borderId="0" xfId="0" applyFill="1" applyBorder="1" applyAlignment="1">
      <alignment horizontal="center"/>
    </xf>
    <xf numFmtId="0" fontId="0" fillId="0" borderId="44" xfId="0" applyFill="1" applyBorder="1" applyAlignment="1">
      <alignment horizontal="center"/>
    </xf>
    <xf numFmtId="0" fontId="0" fillId="0" borderId="68" xfId="0" applyFill="1" applyBorder="1" applyAlignment="1">
      <alignment horizontal="center" vertical="center" textRotation="90"/>
    </xf>
    <xf numFmtId="0" fontId="0" fillId="0" borderId="75" xfId="0" applyFill="1" applyBorder="1" applyAlignment="1">
      <alignment horizontal="center" vertical="center" textRotation="90"/>
    </xf>
    <xf numFmtId="0" fontId="0" fillId="0" borderId="71" xfId="0" applyFill="1" applyBorder="1" applyAlignment="1">
      <alignment horizontal="center" vertical="center" textRotation="90"/>
    </xf>
    <xf numFmtId="0" fontId="0" fillId="0" borderId="18" xfId="0" applyFill="1" applyBorder="1" applyAlignment="1">
      <alignment horizontal="center"/>
    </xf>
    <xf numFmtId="0" fontId="0" fillId="0" borderId="20" xfId="0" applyFill="1" applyBorder="1" applyAlignment="1">
      <alignment horizontal="center"/>
    </xf>
    <xf numFmtId="0" fontId="0" fillId="0" borderId="14" xfId="0" applyFill="1" applyBorder="1" applyAlignment="1">
      <alignment horizontal="center"/>
    </xf>
    <xf numFmtId="0" fontId="0" fillId="0" borderId="21" xfId="0" applyFill="1" applyBorder="1" applyAlignment="1">
      <alignment horizontal="center"/>
    </xf>
    <xf numFmtId="0" fontId="3" fillId="0" borderId="65" xfId="0" applyFont="1" applyFill="1" applyBorder="1" applyAlignment="1">
      <alignment horizontal="center" vertical="center"/>
    </xf>
    <xf numFmtId="0" fontId="0" fillId="15" borderId="49" xfId="0" applyFill="1" applyBorder="1" applyAlignment="1">
      <alignment horizontal="center"/>
    </xf>
    <xf numFmtId="0" fontId="0" fillId="15" borderId="9" xfId="0" applyFill="1" applyBorder="1" applyAlignment="1">
      <alignment horizontal="center"/>
    </xf>
    <xf numFmtId="0" fontId="0" fillId="8" borderId="6" xfId="0" applyFill="1" applyBorder="1" applyAlignment="1">
      <alignment horizontal="center"/>
    </xf>
    <xf numFmtId="0" fontId="0" fillId="8" borderId="49" xfId="0" applyFill="1" applyBorder="1" applyAlignment="1">
      <alignment horizontal="center"/>
    </xf>
    <xf numFmtId="0" fontId="0" fillId="8" borderId="9" xfId="0" applyFill="1" applyBorder="1" applyAlignment="1">
      <alignment horizontal="center"/>
    </xf>
    <xf numFmtId="0" fontId="0" fillId="0" borderId="1" xfId="0" applyBorder="1" applyAlignment="1">
      <alignment horizontal="center" wrapText="1"/>
    </xf>
    <xf numFmtId="4" fontId="0" fillId="0" borderId="30" xfId="0" applyNumberFormat="1" applyFill="1" applyBorder="1" applyAlignment="1">
      <alignment vertical="center"/>
    </xf>
    <xf numFmtId="4" fontId="0" fillId="0" borderId="26" xfId="0" applyNumberFormat="1" applyFill="1" applyBorder="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image" Target="../media/image8.png"/><Relationship Id="rId7" Type="http://schemas.openxmlformats.org/officeDocument/2006/relationships/image" Target="../media/image12.emf"/><Relationship Id="rId12" Type="http://schemas.openxmlformats.org/officeDocument/2006/relationships/image" Target="../media/image17.emf"/><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emf"/><Relationship Id="rId5" Type="http://schemas.openxmlformats.org/officeDocument/2006/relationships/image" Target="../media/image10.emf"/><Relationship Id="rId10" Type="http://schemas.openxmlformats.org/officeDocument/2006/relationships/image" Target="../media/image15.emf"/><Relationship Id="rId4" Type="http://schemas.openxmlformats.org/officeDocument/2006/relationships/image" Target="../media/image9.png"/><Relationship Id="rId9" Type="http://schemas.openxmlformats.org/officeDocument/2006/relationships/image" Target="../media/image14.emf"/></Relationships>
</file>

<file path=xl/drawings/_rels/drawing7.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image" Target="../media/image8.png"/><Relationship Id="rId7" Type="http://schemas.openxmlformats.org/officeDocument/2006/relationships/image" Target="../media/image13.emf"/><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2.emf"/><Relationship Id="rId11" Type="http://schemas.openxmlformats.org/officeDocument/2006/relationships/image" Target="../media/image17.emf"/><Relationship Id="rId5" Type="http://schemas.openxmlformats.org/officeDocument/2006/relationships/image" Target="../media/image10.emf"/><Relationship Id="rId10" Type="http://schemas.openxmlformats.org/officeDocument/2006/relationships/image" Target="../media/image16.emf"/><Relationship Id="rId4" Type="http://schemas.openxmlformats.org/officeDocument/2006/relationships/image" Target="../media/image9.png"/><Relationship Id="rId9" Type="http://schemas.openxmlformats.org/officeDocument/2006/relationships/image" Target="../media/image15.emf"/></Relationships>
</file>

<file path=xl/drawings/_rels/drawing8.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image" Target="../media/image8.png"/><Relationship Id="rId7" Type="http://schemas.openxmlformats.org/officeDocument/2006/relationships/image" Target="../media/image13.emf"/><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2.emf"/><Relationship Id="rId11" Type="http://schemas.openxmlformats.org/officeDocument/2006/relationships/image" Target="../media/image17.emf"/><Relationship Id="rId5" Type="http://schemas.openxmlformats.org/officeDocument/2006/relationships/image" Target="../media/image10.emf"/><Relationship Id="rId10" Type="http://schemas.openxmlformats.org/officeDocument/2006/relationships/image" Target="../media/image16.emf"/><Relationship Id="rId4" Type="http://schemas.openxmlformats.org/officeDocument/2006/relationships/image" Target="../media/image9.png"/><Relationship Id="rId9" Type="http://schemas.openxmlformats.org/officeDocument/2006/relationships/image" Target="../media/image15.emf"/></Relationships>
</file>

<file path=xl/drawings/_rels/drawing9.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image" Target="../media/image8.png"/><Relationship Id="rId7" Type="http://schemas.openxmlformats.org/officeDocument/2006/relationships/image" Target="../media/image13.emf"/><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2.emf"/><Relationship Id="rId11" Type="http://schemas.openxmlformats.org/officeDocument/2006/relationships/image" Target="../media/image17.emf"/><Relationship Id="rId5" Type="http://schemas.openxmlformats.org/officeDocument/2006/relationships/image" Target="../media/image10.emf"/><Relationship Id="rId10" Type="http://schemas.openxmlformats.org/officeDocument/2006/relationships/image" Target="../media/image16.emf"/><Relationship Id="rId4" Type="http://schemas.openxmlformats.org/officeDocument/2006/relationships/image" Target="../media/image9.png"/><Relationship Id="rId9" Type="http://schemas.openxmlformats.org/officeDocument/2006/relationships/image" Target="../media/image1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emf"/><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emf"/><Relationship Id="rId1" Type="http://schemas.openxmlformats.org/officeDocument/2006/relationships/image" Target="../media/image2.emf"/><Relationship Id="rId4"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2.emf"/><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image" Target="../media/image20.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2.emf"/><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image" Target="../media/image20.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2.emf"/><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image" Target="../media/image20.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2.emf"/><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723900</xdr:colOff>
          <xdr:row>26</xdr:row>
          <xdr:rowOff>38100</xdr:rowOff>
        </xdr:from>
        <xdr:to>
          <xdr:col>6</xdr:col>
          <xdr:colOff>28575</xdr:colOff>
          <xdr:row>26</xdr:row>
          <xdr:rowOff>1895475</xdr:rowOff>
        </xdr:to>
        <xdr:sp macro="" textlink="">
          <xdr:nvSpPr>
            <xdr:cNvPr id="92162" name="Object 2" hidden="1">
              <a:extLst>
                <a:ext uri="{63B3BB69-23CF-44E3-9099-C40C66FF867C}">
                  <a14:compatExt spid="_x0000_s92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xdr:row>
          <xdr:rowOff>171450</xdr:rowOff>
        </xdr:from>
        <xdr:to>
          <xdr:col>6</xdr:col>
          <xdr:colOff>266700</xdr:colOff>
          <xdr:row>6</xdr:row>
          <xdr:rowOff>266700</xdr:rowOff>
        </xdr:to>
        <xdr:sp macro="" textlink="">
          <xdr:nvSpPr>
            <xdr:cNvPr id="92163" name="Object 3" hidden="1">
              <a:extLst>
                <a:ext uri="{63B3BB69-23CF-44E3-9099-C40C66FF867C}">
                  <a14:compatExt spid="_x0000_s92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6</xdr:row>
          <xdr:rowOff>209550</xdr:rowOff>
        </xdr:from>
        <xdr:to>
          <xdr:col>5</xdr:col>
          <xdr:colOff>2771775</xdr:colOff>
          <xdr:row>11</xdr:row>
          <xdr:rowOff>47625</xdr:rowOff>
        </xdr:to>
        <xdr:sp macro="" textlink="">
          <xdr:nvSpPr>
            <xdr:cNvPr id="92164" name="Object 4" hidden="1">
              <a:extLst>
                <a:ext uri="{63B3BB69-23CF-44E3-9099-C40C66FF867C}">
                  <a14:compatExt spid="_x0000_s92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10</xdr:row>
          <xdr:rowOff>371475</xdr:rowOff>
        </xdr:from>
        <xdr:to>
          <xdr:col>6</xdr:col>
          <xdr:colOff>304800</xdr:colOff>
          <xdr:row>13</xdr:row>
          <xdr:rowOff>47625</xdr:rowOff>
        </xdr:to>
        <xdr:sp macro="" textlink="">
          <xdr:nvSpPr>
            <xdr:cNvPr id="92165" name="Object 5" hidden="1">
              <a:extLst>
                <a:ext uri="{63B3BB69-23CF-44E3-9099-C40C66FF867C}">
                  <a14:compatExt spid="_x0000_s92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16</xdr:row>
          <xdr:rowOff>1066800</xdr:rowOff>
        </xdr:from>
        <xdr:to>
          <xdr:col>6</xdr:col>
          <xdr:colOff>333375</xdr:colOff>
          <xdr:row>19</xdr:row>
          <xdr:rowOff>9525</xdr:rowOff>
        </xdr:to>
        <xdr:sp macro="" textlink="">
          <xdr:nvSpPr>
            <xdr:cNvPr id="92166" name="Object 6" hidden="1">
              <a:extLst>
                <a:ext uri="{63B3BB69-23CF-44E3-9099-C40C66FF867C}">
                  <a14:compatExt spid="_x0000_s92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19</xdr:row>
          <xdr:rowOff>38100</xdr:rowOff>
        </xdr:from>
        <xdr:to>
          <xdr:col>5</xdr:col>
          <xdr:colOff>2819400</xdr:colOff>
          <xdr:row>19</xdr:row>
          <xdr:rowOff>1371600</xdr:rowOff>
        </xdr:to>
        <xdr:sp macro="" textlink="">
          <xdr:nvSpPr>
            <xdr:cNvPr id="92167" name="Object 7" hidden="1">
              <a:extLst>
                <a:ext uri="{63B3BB69-23CF-44E3-9099-C40C66FF867C}">
                  <a14:compatExt spid="_x0000_s92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104775</xdr:rowOff>
        </xdr:from>
        <xdr:to>
          <xdr:col>6</xdr:col>
          <xdr:colOff>238125</xdr:colOff>
          <xdr:row>22</xdr:row>
          <xdr:rowOff>742950</xdr:rowOff>
        </xdr:to>
        <xdr:sp macro="" textlink="">
          <xdr:nvSpPr>
            <xdr:cNvPr id="92168" name="Object 8" hidden="1">
              <a:extLst>
                <a:ext uri="{63B3BB69-23CF-44E3-9099-C40C66FF867C}">
                  <a14:compatExt spid="_x0000_s92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12</xdr:row>
          <xdr:rowOff>447675</xdr:rowOff>
        </xdr:from>
        <xdr:to>
          <xdr:col>5</xdr:col>
          <xdr:colOff>2800350</xdr:colOff>
          <xdr:row>15</xdr:row>
          <xdr:rowOff>57150</xdr:rowOff>
        </xdr:to>
        <xdr:sp macro="" textlink="">
          <xdr:nvSpPr>
            <xdr:cNvPr id="92170" name="Object 10" hidden="1">
              <a:extLst>
                <a:ext uri="{63B3BB69-23CF-44E3-9099-C40C66FF867C}">
                  <a14:compatExt spid="_x0000_s92170"/>
                </a:ext>
              </a:extLst>
            </xdr:cNvPr>
            <xdr:cNvSpPr/>
          </xdr:nvSpPr>
          <xdr:spPr>
            <a:xfrm>
              <a:off x="0" y="0"/>
              <a:ext cx="0" cy="0"/>
            </a:xfrm>
            <a:prstGeom prst="rect">
              <a:avLst/>
            </a:prstGeom>
          </xdr:spPr>
        </xdr:sp>
        <xdr:clientData/>
      </xdr:twoCellAnchor>
    </mc:Choice>
    <mc:Fallback/>
  </mc:AlternateContent>
  <xdr:twoCellAnchor>
    <xdr:from>
      <xdr:col>5</xdr:col>
      <xdr:colOff>133347</xdr:colOff>
      <xdr:row>15</xdr:row>
      <xdr:rowOff>16741</xdr:rowOff>
    </xdr:from>
    <xdr:to>
      <xdr:col>6</xdr:col>
      <xdr:colOff>348503</xdr:colOff>
      <xdr:row>17</xdr:row>
      <xdr:rowOff>36385</xdr:rowOff>
    </xdr:to>
    <xdr:grpSp>
      <xdr:nvGrpSpPr>
        <xdr:cNvPr id="92587" name="Grupo 22"/>
        <xdr:cNvGrpSpPr>
          <a:grpSpLocks/>
        </xdr:cNvGrpSpPr>
      </xdr:nvGrpSpPr>
      <xdr:grpSpPr bwMode="auto">
        <a:xfrm>
          <a:off x="3562347" y="6762682"/>
          <a:ext cx="3162303" cy="3067644"/>
          <a:chOff x="3728364" y="7709614"/>
          <a:chExt cx="3283318" cy="2221320"/>
        </a:xfrm>
      </xdr:grpSpPr>
      <xdr:grpSp>
        <xdr:nvGrpSpPr>
          <xdr:cNvPr id="92588" name="21 Grupo"/>
          <xdr:cNvGrpSpPr>
            <a:grpSpLocks/>
          </xdr:cNvGrpSpPr>
        </xdr:nvGrpSpPr>
        <xdr:grpSpPr bwMode="auto">
          <a:xfrm>
            <a:off x="3728364" y="7709614"/>
            <a:ext cx="3151262" cy="2221320"/>
            <a:chOff x="3551476" y="7870344"/>
            <a:chExt cx="3143262" cy="2219721"/>
          </a:xfrm>
        </xdr:grpSpPr>
        <mc:AlternateContent xmlns:mc="http://schemas.openxmlformats.org/markup-compatibility/2006">
          <mc:Choice xmlns:a14="http://schemas.microsoft.com/office/drawing/2010/main" Requires="a14">
            <xdr:sp macro="" textlink="">
              <xdr:nvSpPr>
                <xdr:cNvPr id="92171" name="Object 11" hidden="1">
                  <a:extLst>
                    <a:ext uri="{63B3BB69-23CF-44E3-9099-C40C66FF867C}">
                      <a14:compatExt spid="_x0000_s92171"/>
                    </a:ext>
                  </a:extLst>
                </xdr:cNvPr>
                <xdr:cNvSpPr/>
              </xdr:nvSpPr>
              <xdr:spPr>
                <a:xfrm>
                  <a:off x="3551476" y="7870344"/>
                  <a:ext cx="3143262" cy="2219721"/>
                </a:xfrm>
                <a:prstGeom prst="rect">
                  <a:avLst/>
                </a:prstGeom>
              </xdr:spPr>
            </xdr:sp>
          </mc:Choice>
          <mc:Fallback/>
        </mc:AlternateContent>
        <xdr:sp macro="" textlink="">
          <xdr:nvSpPr>
            <xdr:cNvPr id="16" name="23 CuadroTexto"/>
            <xdr:cNvSpPr txBox="1"/>
          </xdr:nvSpPr>
          <xdr:spPr>
            <a:xfrm>
              <a:off x="4685883" y="9343900"/>
              <a:ext cx="739829" cy="340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a:t>61 ó 81</a:t>
              </a:r>
            </a:p>
          </xdr:txBody>
        </xdr:sp>
      </xdr:grpSp>
      <xdr:sp macro="" textlink="">
        <xdr:nvSpPr>
          <xdr:cNvPr id="14" name="13 CuadroTexto"/>
          <xdr:cNvSpPr txBox="1"/>
        </xdr:nvSpPr>
        <xdr:spPr>
          <a:xfrm>
            <a:off x="6625991" y="8749427"/>
            <a:ext cx="385691" cy="340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a:t>39</a:t>
            </a:r>
          </a:p>
        </xdr:txBody>
      </xdr:sp>
    </xdr:grpSp>
    <xdr:clientData/>
  </xdr:twoCellAnchor>
  <mc:AlternateContent xmlns:mc="http://schemas.openxmlformats.org/markup-compatibility/2006">
    <mc:Choice xmlns:a14="http://schemas.microsoft.com/office/drawing/2010/main" Requires="a14">
      <xdr:twoCellAnchor editAs="oneCell">
        <xdr:from>
          <xdr:col>5</xdr:col>
          <xdr:colOff>57150</xdr:colOff>
          <xdr:row>23</xdr:row>
          <xdr:rowOff>0</xdr:rowOff>
        </xdr:from>
        <xdr:to>
          <xdr:col>6</xdr:col>
          <xdr:colOff>85725</xdr:colOff>
          <xdr:row>26</xdr:row>
          <xdr:rowOff>28575</xdr:rowOff>
        </xdr:to>
        <xdr:sp macro="" textlink="">
          <xdr:nvSpPr>
            <xdr:cNvPr id="92173" name="Object 13" hidden="1">
              <a:extLst>
                <a:ext uri="{63B3BB69-23CF-44E3-9099-C40C66FF867C}">
                  <a14:compatExt spid="_x0000_s92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20</xdr:row>
          <xdr:rowOff>85725</xdr:rowOff>
        </xdr:from>
        <xdr:to>
          <xdr:col>5</xdr:col>
          <xdr:colOff>2914650</xdr:colOff>
          <xdr:row>20</xdr:row>
          <xdr:rowOff>1419225</xdr:rowOff>
        </xdr:to>
        <xdr:sp macro="" textlink="">
          <xdr:nvSpPr>
            <xdr:cNvPr id="92174" name="Object 14" hidden="1">
              <a:extLst>
                <a:ext uri="{63B3BB69-23CF-44E3-9099-C40C66FF867C}">
                  <a14:compatExt spid="_x0000_s92174"/>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8</xdr:row>
          <xdr:rowOff>9525</xdr:rowOff>
        </xdr:from>
        <xdr:to>
          <xdr:col>6</xdr:col>
          <xdr:colOff>95250</xdr:colOff>
          <xdr:row>12</xdr:row>
          <xdr:rowOff>57150</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20</xdr:row>
          <xdr:rowOff>95250</xdr:rowOff>
        </xdr:from>
        <xdr:to>
          <xdr:col>6</xdr:col>
          <xdr:colOff>19050</xdr:colOff>
          <xdr:row>20</xdr:row>
          <xdr:rowOff>1095375</xdr:rowOff>
        </xdr:to>
        <xdr:sp macro="" textlink="">
          <xdr:nvSpPr>
            <xdr:cNvPr id="6166" name="Object 22" hidden="1">
              <a:extLst>
                <a:ext uri="{63B3BB69-23CF-44E3-9099-C40C66FF867C}">
                  <a14:compatExt spid="_x0000_s6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819150</xdr:colOff>
          <xdr:row>14</xdr:row>
          <xdr:rowOff>209550</xdr:rowOff>
        </xdr:from>
        <xdr:to>
          <xdr:col>5</xdr:col>
          <xdr:colOff>2724150</xdr:colOff>
          <xdr:row>15</xdr:row>
          <xdr:rowOff>381000</xdr:rowOff>
        </xdr:to>
        <xdr:sp macro="" textlink="">
          <xdr:nvSpPr>
            <xdr:cNvPr id="6172" name="Object 28" hidden="1">
              <a:extLst>
                <a:ext uri="{63B3BB69-23CF-44E3-9099-C40C66FF867C}">
                  <a14:compatExt spid="_x0000_s6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61</xdr:row>
          <xdr:rowOff>352425</xdr:rowOff>
        </xdr:from>
        <xdr:to>
          <xdr:col>6</xdr:col>
          <xdr:colOff>276225</xdr:colOff>
          <xdr:row>65</xdr:row>
          <xdr:rowOff>285750</xdr:rowOff>
        </xdr:to>
        <xdr:sp macro="" textlink="">
          <xdr:nvSpPr>
            <xdr:cNvPr id="6183" name="Object 39" hidden="1">
              <a:extLst>
                <a:ext uri="{63B3BB69-23CF-44E3-9099-C40C66FF867C}">
                  <a14:compatExt spid="_x0000_s6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1133475</xdr:colOff>
          <xdr:row>17</xdr:row>
          <xdr:rowOff>114300</xdr:rowOff>
        </xdr:from>
        <xdr:to>
          <xdr:col>5</xdr:col>
          <xdr:colOff>2505075</xdr:colOff>
          <xdr:row>17</xdr:row>
          <xdr:rowOff>1543050</xdr:rowOff>
        </xdr:to>
        <xdr:sp macro="" textlink="">
          <xdr:nvSpPr>
            <xdr:cNvPr id="6185" name="Object 41" hidden="1">
              <a:extLst>
                <a:ext uri="{63B3BB69-23CF-44E3-9099-C40C66FF867C}">
                  <a14:compatExt spid="_x0000_s6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15</xdr:row>
          <xdr:rowOff>561975</xdr:rowOff>
        </xdr:from>
        <xdr:to>
          <xdr:col>5</xdr:col>
          <xdr:colOff>2686050</xdr:colOff>
          <xdr:row>17</xdr:row>
          <xdr:rowOff>57150</xdr:rowOff>
        </xdr:to>
        <xdr:sp macro="" textlink="">
          <xdr:nvSpPr>
            <xdr:cNvPr id="6186" name="Object 42" hidden="1">
              <a:extLst>
                <a:ext uri="{63B3BB69-23CF-44E3-9099-C40C66FF867C}">
                  <a14:compatExt spid="_x0000_s6186"/>
                </a:ext>
              </a:extLst>
            </xdr:cNvPr>
            <xdr:cNvSpPr/>
          </xdr:nvSpPr>
          <xdr:spPr>
            <a:xfrm>
              <a:off x="0" y="0"/>
              <a:ext cx="0" cy="0"/>
            </a:xfrm>
            <a:prstGeom prst="rect">
              <a:avLst/>
            </a:prstGeom>
          </xdr:spPr>
        </xdr:sp>
        <xdr:clientData/>
      </xdr:twoCellAnchor>
    </mc:Choice>
    <mc:Fallback/>
  </mc:AlternateContent>
  <xdr:twoCellAnchor>
    <xdr:from>
      <xdr:col>5</xdr:col>
      <xdr:colOff>1456765</xdr:colOff>
      <xdr:row>16</xdr:row>
      <xdr:rowOff>78441</xdr:rowOff>
    </xdr:from>
    <xdr:to>
      <xdr:col>5</xdr:col>
      <xdr:colOff>1876425</xdr:colOff>
      <xdr:row>16</xdr:row>
      <xdr:rowOff>314324</xdr:rowOff>
    </xdr:to>
    <xdr:sp macro="" textlink="">
      <xdr:nvSpPr>
        <xdr:cNvPr id="11" name="10 CuadroTexto"/>
        <xdr:cNvSpPr txBox="1"/>
      </xdr:nvSpPr>
      <xdr:spPr>
        <a:xfrm>
          <a:off x="4742890" y="7412691"/>
          <a:ext cx="419660" cy="235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150</a:t>
          </a:r>
        </a:p>
      </xdr:txBody>
    </xdr:sp>
    <xdr:clientData/>
  </xdr:twoCellAnchor>
  <mc:AlternateContent xmlns:mc="http://schemas.openxmlformats.org/markup-compatibility/2006">
    <mc:Choice xmlns:a14="http://schemas.microsoft.com/office/drawing/2010/main" Requires="a14">
      <xdr:twoCellAnchor editAs="oneCell">
        <xdr:from>
          <xdr:col>5</xdr:col>
          <xdr:colOff>1352550</xdr:colOff>
          <xdr:row>18</xdr:row>
          <xdr:rowOff>76200</xdr:rowOff>
        </xdr:from>
        <xdr:to>
          <xdr:col>5</xdr:col>
          <xdr:colOff>2371725</xdr:colOff>
          <xdr:row>18</xdr:row>
          <xdr:rowOff>1533525</xdr:rowOff>
        </xdr:to>
        <xdr:sp macro="" textlink="">
          <xdr:nvSpPr>
            <xdr:cNvPr id="6187" name="Object 43" hidden="1">
              <a:extLst>
                <a:ext uri="{63B3BB69-23CF-44E3-9099-C40C66FF867C}">
                  <a14:compatExt spid="_x0000_s6187"/>
                </a:ext>
              </a:extLst>
            </xdr:cNvPr>
            <xdr:cNvSpPr/>
          </xdr:nvSpPr>
          <xdr:spPr>
            <a:xfrm>
              <a:off x="0" y="0"/>
              <a:ext cx="0" cy="0"/>
            </a:xfrm>
            <a:prstGeom prst="rect">
              <a:avLst/>
            </a:prstGeom>
          </xdr:spPr>
        </xdr:sp>
        <xdr:clientData/>
      </xdr:twoCellAnchor>
    </mc:Choice>
    <mc:Fallback/>
  </mc:AlternateContent>
  <xdr:twoCellAnchor editAs="oneCell">
    <xdr:from>
      <xdr:col>5</xdr:col>
      <xdr:colOff>1057275</xdr:colOff>
      <xdr:row>18</xdr:row>
      <xdr:rowOff>1619250</xdr:rowOff>
    </xdr:from>
    <xdr:to>
      <xdr:col>5</xdr:col>
      <xdr:colOff>2819400</xdr:colOff>
      <xdr:row>20</xdr:row>
      <xdr:rowOff>0</xdr:rowOff>
    </xdr:to>
    <xdr:pic>
      <xdr:nvPicPr>
        <xdr:cNvPr id="6395" name="1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230" t="45233" r="38382" b="23529"/>
        <a:stretch>
          <a:fillRect/>
        </a:stretch>
      </xdr:blipFill>
      <xdr:spPr bwMode="auto">
        <a:xfrm>
          <a:off x="4324350" y="10115550"/>
          <a:ext cx="176212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8</xdr:row>
          <xdr:rowOff>9525</xdr:rowOff>
        </xdr:from>
        <xdr:to>
          <xdr:col>6</xdr:col>
          <xdr:colOff>95250</xdr:colOff>
          <xdr:row>12</xdr:row>
          <xdr:rowOff>57150</xdr:rowOff>
        </xdr:to>
        <xdr:sp macro="" textlink="">
          <xdr:nvSpPr>
            <xdr:cNvPr id="120833" name="Object 1" hidden="1">
              <a:extLst>
                <a:ext uri="{63B3BB69-23CF-44E3-9099-C40C66FF867C}">
                  <a14:compatExt spid="_x0000_s1208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20</xdr:row>
          <xdr:rowOff>95250</xdr:rowOff>
        </xdr:from>
        <xdr:to>
          <xdr:col>6</xdr:col>
          <xdr:colOff>19050</xdr:colOff>
          <xdr:row>20</xdr:row>
          <xdr:rowOff>1095375</xdr:rowOff>
        </xdr:to>
        <xdr:sp macro="" textlink="">
          <xdr:nvSpPr>
            <xdr:cNvPr id="120834" name="Object 2" hidden="1">
              <a:extLst>
                <a:ext uri="{63B3BB69-23CF-44E3-9099-C40C66FF867C}">
                  <a14:compatExt spid="_x0000_s1208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14</xdr:row>
          <xdr:rowOff>114300</xdr:rowOff>
        </xdr:from>
        <xdr:to>
          <xdr:col>5</xdr:col>
          <xdr:colOff>2771775</xdr:colOff>
          <xdr:row>15</xdr:row>
          <xdr:rowOff>314325</xdr:rowOff>
        </xdr:to>
        <xdr:sp macro="" textlink="">
          <xdr:nvSpPr>
            <xdr:cNvPr id="120835" name="Object 3" hidden="1">
              <a:extLst>
                <a:ext uri="{63B3BB69-23CF-44E3-9099-C40C66FF867C}">
                  <a14:compatExt spid="_x0000_s1208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1133475</xdr:colOff>
          <xdr:row>17</xdr:row>
          <xdr:rowOff>104775</xdr:rowOff>
        </xdr:from>
        <xdr:to>
          <xdr:col>5</xdr:col>
          <xdr:colOff>2505075</xdr:colOff>
          <xdr:row>17</xdr:row>
          <xdr:rowOff>1533525</xdr:rowOff>
        </xdr:to>
        <xdr:sp macro="" textlink="">
          <xdr:nvSpPr>
            <xdr:cNvPr id="120837" name="Object 5" hidden="1">
              <a:extLst>
                <a:ext uri="{63B3BB69-23CF-44E3-9099-C40C66FF867C}">
                  <a14:compatExt spid="_x0000_s1208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16</xdr:row>
          <xdr:rowOff>0</xdr:rowOff>
        </xdr:from>
        <xdr:to>
          <xdr:col>5</xdr:col>
          <xdr:colOff>2686050</xdr:colOff>
          <xdr:row>17</xdr:row>
          <xdr:rowOff>76200</xdr:rowOff>
        </xdr:to>
        <xdr:sp macro="" textlink="">
          <xdr:nvSpPr>
            <xdr:cNvPr id="120838" name="Object 6" hidden="1">
              <a:extLst>
                <a:ext uri="{63B3BB69-23CF-44E3-9099-C40C66FF867C}">
                  <a14:compatExt spid="_x0000_s120838"/>
                </a:ext>
              </a:extLst>
            </xdr:cNvPr>
            <xdr:cNvSpPr/>
          </xdr:nvSpPr>
          <xdr:spPr>
            <a:xfrm>
              <a:off x="0" y="0"/>
              <a:ext cx="0" cy="0"/>
            </a:xfrm>
            <a:prstGeom prst="rect">
              <a:avLst/>
            </a:prstGeom>
          </xdr:spPr>
        </xdr:sp>
        <xdr:clientData/>
      </xdr:twoCellAnchor>
    </mc:Choice>
    <mc:Fallback/>
  </mc:AlternateContent>
  <xdr:twoCellAnchor>
    <xdr:from>
      <xdr:col>5</xdr:col>
      <xdr:colOff>1456765</xdr:colOff>
      <xdr:row>16</xdr:row>
      <xdr:rowOff>78441</xdr:rowOff>
    </xdr:from>
    <xdr:to>
      <xdr:col>5</xdr:col>
      <xdr:colOff>1876425</xdr:colOff>
      <xdr:row>16</xdr:row>
      <xdr:rowOff>314324</xdr:rowOff>
    </xdr:to>
    <xdr:sp macro="" textlink="">
      <xdr:nvSpPr>
        <xdr:cNvPr id="9" name="8 CuadroTexto"/>
        <xdr:cNvSpPr txBox="1"/>
      </xdr:nvSpPr>
      <xdr:spPr>
        <a:xfrm>
          <a:off x="4752415" y="5736291"/>
          <a:ext cx="419660" cy="235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150</a:t>
          </a:r>
        </a:p>
      </xdr:txBody>
    </xdr:sp>
    <xdr:clientData/>
  </xdr:twoCellAnchor>
  <mc:AlternateContent xmlns:mc="http://schemas.openxmlformats.org/markup-compatibility/2006">
    <mc:Choice xmlns:a14="http://schemas.microsoft.com/office/drawing/2010/main" Requires="a14">
      <xdr:twoCellAnchor editAs="oneCell">
        <xdr:from>
          <xdr:col>5</xdr:col>
          <xdr:colOff>1438275</xdr:colOff>
          <xdr:row>18</xdr:row>
          <xdr:rowOff>76200</xdr:rowOff>
        </xdr:from>
        <xdr:to>
          <xdr:col>5</xdr:col>
          <xdr:colOff>2457450</xdr:colOff>
          <xdr:row>18</xdr:row>
          <xdr:rowOff>1533525</xdr:rowOff>
        </xdr:to>
        <xdr:sp macro="" textlink="">
          <xdr:nvSpPr>
            <xdr:cNvPr id="120839" name="Object 7" hidden="1">
              <a:extLst>
                <a:ext uri="{63B3BB69-23CF-44E3-9099-C40C66FF867C}">
                  <a14:compatExt spid="_x0000_s120839"/>
                </a:ext>
              </a:extLst>
            </xdr:cNvPr>
            <xdr:cNvSpPr/>
          </xdr:nvSpPr>
          <xdr:spPr>
            <a:xfrm>
              <a:off x="0" y="0"/>
              <a:ext cx="0" cy="0"/>
            </a:xfrm>
            <a:prstGeom prst="rect">
              <a:avLst/>
            </a:prstGeom>
          </xdr:spPr>
        </xdr:sp>
        <xdr:clientData/>
      </xdr:twoCellAnchor>
    </mc:Choice>
    <mc:Fallback/>
  </mc:AlternateContent>
  <xdr:twoCellAnchor editAs="oneCell">
    <xdr:from>
      <xdr:col>5</xdr:col>
      <xdr:colOff>762000</xdr:colOff>
      <xdr:row>19</xdr:row>
      <xdr:rowOff>47625</xdr:rowOff>
    </xdr:from>
    <xdr:to>
      <xdr:col>6</xdr:col>
      <xdr:colOff>95250</xdr:colOff>
      <xdr:row>20</xdr:row>
      <xdr:rowOff>9525</xdr:rowOff>
    </xdr:to>
    <xdr:pic>
      <xdr:nvPicPr>
        <xdr:cNvPr id="121047" name="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515" t="35419" r="24445" b="22433"/>
        <a:stretch>
          <a:fillRect/>
        </a:stretch>
      </xdr:blipFill>
      <xdr:spPr bwMode="auto">
        <a:xfrm>
          <a:off x="4057650" y="10144125"/>
          <a:ext cx="23431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8</xdr:row>
          <xdr:rowOff>9525</xdr:rowOff>
        </xdr:from>
        <xdr:to>
          <xdr:col>6</xdr:col>
          <xdr:colOff>95250</xdr:colOff>
          <xdr:row>12</xdr:row>
          <xdr:rowOff>57150</xdr:rowOff>
        </xdr:to>
        <xdr:sp macro="" textlink="">
          <xdr:nvSpPr>
            <xdr:cNvPr id="122881" name="Object 1" hidden="1">
              <a:extLst>
                <a:ext uri="{63B3BB69-23CF-44E3-9099-C40C66FF867C}">
                  <a14:compatExt spid="_x0000_s1228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20</xdr:row>
          <xdr:rowOff>95250</xdr:rowOff>
        </xdr:from>
        <xdr:to>
          <xdr:col>6</xdr:col>
          <xdr:colOff>19050</xdr:colOff>
          <xdr:row>20</xdr:row>
          <xdr:rowOff>1095375</xdr:rowOff>
        </xdr:to>
        <xdr:sp macro="" textlink="">
          <xdr:nvSpPr>
            <xdr:cNvPr id="122882" name="Object 2" hidden="1">
              <a:extLst>
                <a:ext uri="{63B3BB69-23CF-44E3-9099-C40C66FF867C}">
                  <a14:compatExt spid="_x0000_s1228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819150</xdr:colOff>
          <xdr:row>13</xdr:row>
          <xdr:rowOff>266700</xdr:rowOff>
        </xdr:from>
        <xdr:to>
          <xdr:col>5</xdr:col>
          <xdr:colOff>2724150</xdr:colOff>
          <xdr:row>15</xdr:row>
          <xdr:rowOff>133350</xdr:rowOff>
        </xdr:to>
        <xdr:sp macro="" textlink="">
          <xdr:nvSpPr>
            <xdr:cNvPr id="122883" name="Object 3" hidden="1">
              <a:extLst>
                <a:ext uri="{63B3BB69-23CF-44E3-9099-C40C66FF867C}">
                  <a14:compatExt spid="_x0000_s122883"/>
                </a:ext>
              </a:extLst>
            </xdr:cNvPr>
            <xdr:cNvSpPr/>
          </xdr:nvSpPr>
          <xdr:spPr>
            <a:xfrm>
              <a:off x="0" y="0"/>
              <a:ext cx="0" cy="0"/>
            </a:xfrm>
            <a:prstGeom prst="rect">
              <a:avLst/>
            </a:prstGeom>
          </xdr:spPr>
        </xdr:sp>
        <xdr:clientData/>
      </xdr:twoCellAnchor>
    </mc:Choice>
    <mc:Fallback/>
  </mc:AlternateContent>
  <xdr:twoCellAnchor editAs="oneCell">
    <xdr:from>
      <xdr:col>5</xdr:col>
      <xdr:colOff>676275</xdr:colOff>
      <xdr:row>19</xdr:row>
      <xdr:rowOff>28575</xdr:rowOff>
    </xdr:from>
    <xdr:to>
      <xdr:col>5</xdr:col>
      <xdr:colOff>2981325</xdr:colOff>
      <xdr:row>20</xdr:row>
      <xdr:rowOff>47625</xdr:rowOff>
    </xdr:to>
    <xdr:pic>
      <xdr:nvPicPr>
        <xdr:cNvPr id="123093" name="Imagen 1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888" t="20801" r="20586" b="29993"/>
        <a:stretch>
          <a:fillRect/>
        </a:stretch>
      </xdr:blipFill>
      <xdr:spPr bwMode="auto">
        <a:xfrm>
          <a:off x="3971925" y="10163175"/>
          <a:ext cx="230505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1133475</xdr:colOff>
          <xdr:row>17</xdr:row>
          <xdr:rowOff>104775</xdr:rowOff>
        </xdr:from>
        <xdr:to>
          <xdr:col>5</xdr:col>
          <xdr:colOff>2505075</xdr:colOff>
          <xdr:row>17</xdr:row>
          <xdr:rowOff>1533525</xdr:rowOff>
        </xdr:to>
        <xdr:sp macro="" textlink="">
          <xdr:nvSpPr>
            <xdr:cNvPr id="122884" name="Object 4" hidden="1">
              <a:extLst>
                <a:ext uri="{63B3BB69-23CF-44E3-9099-C40C66FF867C}">
                  <a14:compatExt spid="_x0000_s1228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16</xdr:row>
          <xdr:rowOff>0</xdr:rowOff>
        </xdr:from>
        <xdr:to>
          <xdr:col>5</xdr:col>
          <xdr:colOff>2686050</xdr:colOff>
          <xdr:row>17</xdr:row>
          <xdr:rowOff>76200</xdr:rowOff>
        </xdr:to>
        <xdr:sp macro="" textlink="">
          <xdr:nvSpPr>
            <xdr:cNvPr id="122885" name="Object 5" hidden="1">
              <a:extLst>
                <a:ext uri="{63B3BB69-23CF-44E3-9099-C40C66FF867C}">
                  <a14:compatExt spid="_x0000_s122885"/>
                </a:ext>
              </a:extLst>
            </xdr:cNvPr>
            <xdr:cNvSpPr/>
          </xdr:nvSpPr>
          <xdr:spPr>
            <a:xfrm>
              <a:off x="0" y="0"/>
              <a:ext cx="0" cy="0"/>
            </a:xfrm>
            <a:prstGeom prst="rect">
              <a:avLst/>
            </a:prstGeom>
          </xdr:spPr>
        </xdr:sp>
        <xdr:clientData/>
      </xdr:twoCellAnchor>
    </mc:Choice>
    <mc:Fallback/>
  </mc:AlternateContent>
  <xdr:twoCellAnchor>
    <xdr:from>
      <xdr:col>5</xdr:col>
      <xdr:colOff>1456765</xdr:colOff>
      <xdr:row>16</xdr:row>
      <xdr:rowOff>78441</xdr:rowOff>
    </xdr:from>
    <xdr:to>
      <xdr:col>5</xdr:col>
      <xdr:colOff>1876425</xdr:colOff>
      <xdr:row>16</xdr:row>
      <xdr:rowOff>314324</xdr:rowOff>
    </xdr:to>
    <xdr:sp macro="" textlink="">
      <xdr:nvSpPr>
        <xdr:cNvPr id="8" name="7 CuadroTexto"/>
        <xdr:cNvSpPr txBox="1"/>
      </xdr:nvSpPr>
      <xdr:spPr>
        <a:xfrm>
          <a:off x="4752415" y="5736291"/>
          <a:ext cx="419660" cy="235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150</a:t>
          </a:r>
        </a:p>
      </xdr:txBody>
    </xdr:sp>
    <xdr:clientData/>
  </xdr:twoCellAnchor>
  <mc:AlternateContent xmlns:mc="http://schemas.openxmlformats.org/markup-compatibility/2006">
    <mc:Choice xmlns:a14="http://schemas.microsoft.com/office/drawing/2010/main" Requires="a14">
      <xdr:twoCellAnchor editAs="oneCell">
        <xdr:from>
          <xdr:col>5</xdr:col>
          <xdr:colOff>1352550</xdr:colOff>
          <xdr:row>18</xdr:row>
          <xdr:rowOff>133350</xdr:rowOff>
        </xdr:from>
        <xdr:to>
          <xdr:col>5</xdr:col>
          <xdr:colOff>2371725</xdr:colOff>
          <xdr:row>18</xdr:row>
          <xdr:rowOff>1590675</xdr:rowOff>
        </xdr:to>
        <xdr:sp macro="" textlink="">
          <xdr:nvSpPr>
            <xdr:cNvPr id="122886" name="Object 6" hidden="1">
              <a:extLst>
                <a:ext uri="{63B3BB69-23CF-44E3-9099-C40C66FF867C}">
                  <a14:compatExt spid="_x0000_s122886"/>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8</xdr:row>
          <xdr:rowOff>9525</xdr:rowOff>
        </xdr:from>
        <xdr:to>
          <xdr:col>6</xdr:col>
          <xdr:colOff>95250</xdr:colOff>
          <xdr:row>12</xdr:row>
          <xdr:rowOff>57150</xdr:rowOff>
        </xdr:to>
        <xdr:sp macro="" textlink="">
          <xdr:nvSpPr>
            <xdr:cNvPr id="124929" name="Object 1" hidden="1">
              <a:extLst>
                <a:ext uri="{63B3BB69-23CF-44E3-9099-C40C66FF867C}">
                  <a14:compatExt spid="_x0000_s124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20</xdr:row>
          <xdr:rowOff>95250</xdr:rowOff>
        </xdr:from>
        <xdr:to>
          <xdr:col>6</xdr:col>
          <xdr:colOff>19050</xdr:colOff>
          <xdr:row>20</xdr:row>
          <xdr:rowOff>1095375</xdr:rowOff>
        </xdr:to>
        <xdr:sp macro="" textlink="">
          <xdr:nvSpPr>
            <xdr:cNvPr id="124930" name="Object 2" hidden="1">
              <a:extLst>
                <a:ext uri="{63B3BB69-23CF-44E3-9099-C40C66FF867C}">
                  <a14:compatExt spid="_x0000_s124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819150</xdr:colOff>
          <xdr:row>13</xdr:row>
          <xdr:rowOff>266700</xdr:rowOff>
        </xdr:from>
        <xdr:to>
          <xdr:col>5</xdr:col>
          <xdr:colOff>2724150</xdr:colOff>
          <xdr:row>16</xdr:row>
          <xdr:rowOff>95250</xdr:rowOff>
        </xdr:to>
        <xdr:sp macro="" textlink="">
          <xdr:nvSpPr>
            <xdr:cNvPr id="124931" name="Object 3" hidden="1">
              <a:extLst>
                <a:ext uri="{63B3BB69-23CF-44E3-9099-C40C66FF867C}">
                  <a14:compatExt spid="_x0000_s124931"/>
                </a:ext>
              </a:extLst>
            </xdr:cNvPr>
            <xdr:cNvSpPr/>
          </xdr:nvSpPr>
          <xdr:spPr>
            <a:xfrm>
              <a:off x="0" y="0"/>
              <a:ext cx="0" cy="0"/>
            </a:xfrm>
            <a:prstGeom prst="rect">
              <a:avLst/>
            </a:prstGeom>
          </xdr:spPr>
        </xdr:sp>
        <xdr:clientData/>
      </xdr:twoCellAnchor>
    </mc:Choice>
    <mc:Fallback/>
  </mc:AlternateContent>
  <xdr:twoCellAnchor editAs="oneCell">
    <xdr:from>
      <xdr:col>5</xdr:col>
      <xdr:colOff>676275</xdr:colOff>
      <xdr:row>19</xdr:row>
      <xdr:rowOff>28575</xdr:rowOff>
    </xdr:from>
    <xdr:to>
      <xdr:col>5</xdr:col>
      <xdr:colOff>2981325</xdr:colOff>
      <xdr:row>20</xdr:row>
      <xdr:rowOff>47625</xdr:rowOff>
    </xdr:to>
    <xdr:pic>
      <xdr:nvPicPr>
        <xdr:cNvPr id="125147" name="Imagen 1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888" t="20801" r="20586" b="29993"/>
        <a:stretch>
          <a:fillRect/>
        </a:stretch>
      </xdr:blipFill>
      <xdr:spPr bwMode="auto">
        <a:xfrm>
          <a:off x="3971925" y="9610725"/>
          <a:ext cx="230505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1133475</xdr:colOff>
          <xdr:row>17</xdr:row>
          <xdr:rowOff>76200</xdr:rowOff>
        </xdr:from>
        <xdr:to>
          <xdr:col>5</xdr:col>
          <xdr:colOff>2505075</xdr:colOff>
          <xdr:row>17</xdr:row>
          <xdr:rowOff>1504950</xdr:rowOff>
        </xdr:to>
        <xdr:sp macro="" textlink="">
          <xdr:nvSpPr>
            <xdr:cNvPr id="124932" name="Object 4" hidden="1">
              <a:extLst>
                <a:ext uri="{63B3BB69-23CF-44E3-9099-C40C66FF867C}">
                  <a14:compatExt spid="_x0000_s124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16</xdr:row>
          <xdr:rowOff>0</xdr:rowOff>
        </xdr:from>
        <xdr:to>
          <xdr:col>5</xdr:col>
          <xdr:colOff>2686050</xdr:colOff>
          <xdr:row>17</xdr:row>
          <xdr:rowOff>76200</xdr:rowOff>
        </xdr:to>
        <xdr:sp macro="" textlink="">
          <xdr:nvSpPr>
            <xdr:cNvPr id="124933" name="Object 5" hidden="1">
              <a:extLst>
                <a:ext uri="{63B3BB69-23CF-44E3-9099-C40C66FF867C}">
                  <a14:compatExt spid="_x0000_s124933"/>
                </a:ext>
              </a:extLst>
            </xdr:cNvPr>
            <xdr:cNvSpPr/>
          </xdr:nvSpPr>
          <xdr:spPr>
            <a:xfrm>
              <a:off x="0" y="0"/>
              <a:ext cx="0" cy="0"/>
            </a:xfrm>
            <a:prstGeom prst="rect">
              <a:avLst/>
            </a:prstGeom>
          </xdr:spPr>
        </xdr:sp>
        <xdr:clientData/>
      </xdr:twoCellAnchor>
    </mc:Choice>
    <mc:Fallback/>
  </mc:AlternateContent>
  <xdr:twoCellAnchor>
    <xdr:from>
      <xdr:col>5</xdr:col>
      <xdr:colOff>1456765</xdr:colOff>
      <xdr:row>16</xdr:row>
      <xdr:rowOff>78441</xdr:rowOff>
    </xdr:from>
    <xdr:to>
      <xdr:col>5</xdr:col>
      <xdr:colOff>1876425</xdr:colOff>
      <xdr:row>16</xdr:row>
      <xdr:rowOff>314324</xdr:rowOff>
    </xdr:to>
    <xdr:sp macro="" textlink="">
      <xdr:nvSpPr>
        <xdr:cNvPr id="8" name="7 CuadroTexto"/>
        <xdr:cNvSpPr txBox="1"/>
      </xdr:nvSpPr>
      <xdr:spPr>
        <a:xfrm>
          <a:off x="4752415" y="5736291"/>
          <a:ext cx="419660" cy="235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150</a:t>
          </a:r>
        </a:p>
      </xdr:txBody>
    </xdr:sp>
    <xdr:clientData/>
  </xdr:twoCellAnchor>
  <mc:AlternateContent xmlns:mc="http://schemas.openxmlformats.org/markup-compatibility/2006">
    <mc:Choice xmlns:a14="http://schemas.microsoft.com/office/drawing/2010/main" Requires="a14">
      <xdr:twoCellAnchor editAs="oneCell">
        <xdr:from>
          <xdr:col>5</xdr:col>
          <xdr:colOff>1352550</xdr:colOff>
          <xdr:row>18</xdr:row>
          <xdr:rowOff>114300</xdr:rowOff>
        </xdr:from>
        <xdr:to>
          <xdr:col>5</xdr:col>
          <xdr:colOff>2371725</xdr:colOff>
          <xdr:row>18</xdr:row>
          <xdr:rowOff>1571625</xdr:rowOff>
        </xdr:to>
        <xdr:sp macro="" textlink="">
          <xdr:nvSpPr>
            <xdr:cNvPr id="124934" name="Object 6" hidden="1">
              <a:extLst>
                <a:ext uri="{63B3BB69-23CF-44E3-9099-C40C66FF867C}">
                  <a14:compatExt spid="_x0000_s124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xdr:row>
          <xdr:rowOff>9525</xdr:rowOff>
        </xdr:from>
        <xdr:to>
          <xdr:col>6</xdr:col>
          <xdr:colOff>95250</xdr:colOff>
          <xdr:row>12</xdr:row>
          <xdr:rowOff>57150</xdr:rowOff>
        </xdr:to>
        <xdr:sp macro="" textlink="">
          <xdr:nvSpPr>
            <xdr:cNvPr id="124935" name="Object 7" hidden="1">
              <a:extLst>
                <a:ext uri="{63B3BB69-23CF-44E3-9099-C40C66FF867C}">
                  <a14:compatExt spid="_x0000_s124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61</xdr:row>
          <xdr:rowOff>371475</xdr:rowOff>
        </xdr:from>
        <xdr:to>
          <xdr:col>6</xdr:col>
          <xdr:colOff>295275</xdr:colOff>
          <xdr:row>65</xdr:row>
          <xdr:rowOff>304800</xdr:rowOff>
        </xdr:to>
        <xdr:sp macro="" textlink="">
          <xdr:nvSpPr>
            <xdr:cNvPr id="124940" name="Object 12" hidden="1">
              <a:extLst>
                <a:ext uri="{63B3BB69-23CF-44E3-9099-C40C66FF867C}">
                  <a14:compatExt spid="_x0000_s12494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36</xdr:row>
          <xdr:rowOff>57150</xdr:rowOff>
        </xdr:from>
        <xdr:to>
          <xdr:col>6</xdr:col>
          <xdr:colOff>371475</xdr:colOff>
          <xdr:row>38</xdr:row>
          <xdr:rowOff>85725</xdr:rowOff>
        </xdr:to>
        <xdr:sp macro="" textlink="">
          <xdr:nvSpPr>
            <xdr:cNvPr id="94209" name="Object 1" hidden="1">
              <a:extLst>
                <a:ext uri="{63B3BB69-23CF-44E3-9099-C40C66FF867C}">
                  <a14:compatExt spid="_x0000_s94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34</xdr:row>
          <xdr:rowOff>0</xdr:rowOff>
        </xdr:from>
        <xdr:to>
          <xdr:col>6</xdr:col>
          <xdr:colOff>38100</xdr:colOff>
          <xdr:row>34</xdr:row>
          <xdr:rowOff>1866900</xdr:rowOff>
        </xdr:to>
        <xdr:sp macro="" textlink="">
          <xdr:nvSpPr>
            <xdr:cNvPr id="94210" name="Object 2" hidden="1">
              <a:extLst>
                <a:ext uri="{63B3BB69-23CF-44E3-9099-C40C66FF867C}">
                  <a14:compatExt spid="_x0000_s94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xdr:row>
          <xdr:rowOff>28575</xdr:rowOff>
        </xdr:from>
        <xdr:to>
          <xdr:col>6</xdr:col>
          <xdr:colOff>371475</xdr:colOff>
          <xdr:row>7</xdr:row>
          <xdr:rowOff>123825</xdr:rowOff>
        </xdr:to>
        <xdr:sp macro="" textlink="">
          <xdr:nvSpPr>
            <xdr:cNvPr id="94211" name="Object 3" hidden="1">
              <a:extLst>
                <a:ext uri="{63B3BB69-23CF-44E3-9099-C40C66FF867C}">
                  <a14:compatExt spid="_x0000_s94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7</xdr:row>
          <xdr:rowOff>95250</xdr:rowOff>
        </xdr:from>
        <xdr:to>
          <xdr:col>5</xdr:col>
          <xdr:colOff>2581275</xdr:colOff>
          <xdr:row>11</xdr:row>
          <xdr:rowOff>276225</xdr:rowOff>
        </xdr:to>
        <xdr:sp macro="" textlink="">
          <xdr:nvSpPr>
            <xdr:cNvPr id="94212" name="Object 4" hidden="1">
              <a:extLst>
                <a:ext uri="{63B3BB69-23CF-44E3-9099-C40C66FF867C}">
                  <a14:compatExt spid="_x0000_s94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66675</xdr:rowOff>
        </xdr:from>
        <xdr:to>
          <xdr:col>6</xdr:col>
          <xdr:colOff>114300</xdr:colOff>
          <xdr:row>20</xdr:row>
          <xdr:rowOff>9525</xdr:rowOff>
        </xdr:to>
        <xdr:sp macro="" textlink="">
          <xdr:nvSpPr>
            <xdr:cNvPr id="94214" name="Object 6" hidden="1">
              <a:extLst>
                <a:ext uri="{63B3BB69-23CF-44E3-9099-C40C66FF867C}">
                  <a14:compatExt spid="_x0000_s94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23</xdr:row>
          <xdr:rowOff>171450</xdr:rowOff>
        </xdr:from>
        <xdr:to>
          <xdr:col>5</xdr:col>
          <xdr:colOff>2790825</xdr:colOff>
          <xdr:row>25</xdr:row>
          <xdr:rowOff>762000</xdr:rowOff>
        </xdr:to>
        <xdr:sp macro="" textlink="">
          <xdr:nvSpPr>
            <xdr:cNvPr id="94215" name="Object 7" hidden="1">
              <a:extLst>
                <a:ext uri="{63B3BB69-23CF-44E3-9099-C40C66FF867C}">
                  <a14:compatExt spid="_x0000_s94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29</xdr:row>
          <xdr:rowOff>171450</xdr:rowOff>
        </xdr:from>
        <xdr:to>
          <xdr:col>6</xdr:col>
          <xdr:colOff>352425</xdr:colOff>
          <xdr:row>33</xdr:row>
          <xdr:rowOff>219075</xdr:rowOff>
        </xdr:to>
        <xdr:sp macro="" textlink="">
          <xdr:nvSpPr>
            <xdr:cNvPr id="94216" name="Object 8" hidden="1">
              <a:extLst>
                <a:ext uri="{63B3BB69-23CF-44E3-9099-C40C66FF867C}">
                  <a14:compatExt spid="_x0000_s94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25</xdr:row>
          <xdr:rowOff>790575</xdr:rowOff>
        </xdr:from>
        <xdr:to>
          <xdr:col>5</xdr:col>
          <xdr:colOff>2743200</xdr:colOff>
          <xdr:row>28</xdr:row>
          <xdr:rowOff>457200</xdr:rowOff>
        </xdr:to>
        <xdr:sp macro="" textlink="">
          <xdr:nvSpPr>
            <xdr:cNvPr id="94217" name="Object 9" hidden="1">
              <a:extLst>
                <a:ext uri="{63B3BB69-23CF-44E3-9099-C40C66FF867C}">
                  <a14:compatExt spid="_x0000_s94217"/>
                </a:ext>
              </a:extLst>
            </xdr:cNvPr>
            <xdr:cNvSpPr/>
          </xdr:nvSpPr>
          <xdr:spPr>
            <a:xfrm>
              <a:off x="0" y="0"/>
              <a:ext cx="0" cy="0"/>
            </a:xfrm>
            <a:prstGeom prst="rect">
              <a:avLst/>
            </a:prstGeom>
          </xdr:spPr>
        </xdr:sp>
        <xdr:clientData/>
      </xdr:twoCellAnchor>
    </mc:Choice>
    <mc:Fallback/>
  </mc:AlternateContent>
  <xdr:twoCellAnchor editAs="oneCell">
    <xdr:from>
      <xdr:col>5</xdr:col>
      <xdr:colOff>134471</xdr:colOff>
      <xdr:row>35</xdr:row>
      <xdr:rowOff>347382</xdr:rowOff>
    </xdr:from>
    <xdr:to>
      <xdr:col>6</xdr:col>
      <xdr:colOff>350585</xdr:colOff>
      <xdr:row>35</xdr:row>
      <xdr:rowOff>1305377</xdr:rowOff>
    </xdr:to>
    <xdr:pic>
      <xdr:nvPicPr>
        <xdr:cNvPr id="15" name="14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812" t="40015" r="37211" b="38381"/>
        <a:stretch/>
      </xdr:blipFill>
      <xdr:spPr bwMode="auto">
        <a:xfrm>
          <a:off x="3563471" y="14276294"/>
          <a:ext cx="3081618" cy="960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33</xdr:row>
          <xdr:rowOff>9525</xdr:rowOff>
        </xdr:from>
        <xdr:to>
          <xdr:col>6</xdr:col>
          <xdr:colOff>371475</xdr:colOff>
          <xdr:row>34</xdr:row>
          <xdr:rowOff>666750</xdr:rowOff>
        </xdr:to>
        <xdr:sp macro="" textlink="">
          <xdr:nvSpPr>
            <xdr:cNvPr id="96268" name="Object 12" hidden="1">
              <a:extLst>
                <a:ext uri="{63B3BB69-23CF-44E3-9099-C40C66FF867C}">
                  <a14:compatExt spid="_x0000_s96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31</xdr:row>
          <xdr:rowOff>0</xdr:rowOff>
        </xdr:from>
        <xdr:to>
          <xdr:col>5</xdr:col>
          <xdr:colOff>2895600</xdr:colOff>
          <xdr:row>31</xdr:row>
          <xdr:rowOff>1790700</xdr:rowOff>
        </xdr:to>
        <xdr:sp macro="" textlink="">
          <xdr:nvSpPr>
            <xdr:cNvPr id="96269" name="Object 13" hidden="1">
              <a:extLst>
                <a:ext uri="{63B3BB69-23CF-44E3-9099-C40C66FF867C}">
                  <a14:compatExt spid="_x0000_s96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xdr:row>
          <xdr:rowOff>333375</xdr:rowOff>
        </xdr:from>
        <xdr:to>
          <xdr:col>6</xdr:col>
          <xdr:colOff>304800</xdr:colOff>
          <xdr:row>7</xdr:row>
          <xdr:rowOff>66675</xdr:rowOff>
        </xdr:to>
        <xdr:sp macro="" textlink="">
          <xdr:nvSpPr>
            <xdr:cNvPr id="96270" name="Object 14" hidden="1">
              <a:extLst>
                <a:ext uri="{63B3BB69-23CF-44E3-9099-C40C66FF867C}">
                  <a14:compatExt spid="_x0000_s96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6</xdr:row>
          <xdr:rowOff>200025</xdr:rowOff>
        </xdr:from>
        <xdr:to>
          <xdr:col>5</xdr:col>
          <xdr:colOff>2676525</xdr:colOff>
          <xdr:row>11</xdr:row>
          <xdr:rowOff>228600</xdr:rowOff>
        </xdr:to>
        <xdr:sp macro="" textlink="">
          <xdr:nvSpPr>
            <xdr:cNvPr id="96271" name="Object 15" hidden="1">
              <a:extLst>
                <a:ext uri="{63B3BB69-23CF-44E3-9099-C40C66FF867C}">
                  <a14:compatExt spid="_x0000_s96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257175</xdr:rowOff>
        </xdr:from>
        <xdr:to>
          <xdr:col>6</xdr:col>
          <xdr:colOff>28575</xdr:colOff>
          <xdr:row>20</xdr:row>
          <xdr:rowOff>276225</xdr:rowOff>
        </xdr:to>
        <xdr:sp macro="" textlink="">
          <xdr:nvSpPr>
            <xdr:cNvPr id="96272" name="Object 16" hidden="1">
              <a:extLst>
                <a:ext uri="{63B3BB69-23CF-44E3-9099-C40C66FF867C}">
                  <a14:compatExt spid="_x0000_s96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23</xdr:row>
          <xdr:rowOff>66675</xdr:rowOff>
        </xdr:from>
        <xdr:to>
          <xdr:col>5</xdr:col>
          <xdr:colOff>2790825</xdr:colOff>
          <xdr:row>26</xdr:row>
          <xdr:rowOff>133350</xdr:rowOff>
        </xdr:to>
        <xdr:sp macro="" textlink="">
          <xdr:nvSpPr>
            <xdr:cNvPr id="96273" name="Object 17" hidden="1">
              <a:extLst>
                <a:ext uri="{63B3BB69-23CF-44E3-9099-C40C66FF867C}">
                  <a14:compatExt spid="_x0000_s96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27</xdr:row>
          <xdr:rowOff>19050</xdr:rowOff>
        </xdr:from>
        <xdr:to>
          <xdr:col>6</xdr:col>
          <xdr:colOff>266700</xdr:colOff>
          <xdr:row>30</xdr:row>
          <xdr:rowOff>428625</xdr:rowOff>
        </xdr:to>
        <xdr:sp macro="" textlink="">
          <xdr:nvSpPr>
            <xdr:cNvPr id="96274" name="Object 18" hidden="1">
              <a:extLst>
                <a:ext uri="{63B3BB69-23CF-44E3-9099-C40C66FF867C}">
                  <a14:compatExt spid="_x0000_s96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25</xdr:row>
          <xdr:rowOff>723900</xdr:rowOff>
        </xdr:from>
        <xdr:to>
          <xdr:col>5</xdr:col>
          <xdr:colOff>2743200</xdr:colOff>
          <xdr:row>27</xdr:row>
          <xdr:rowOff>85725</xdr:rowOff>
        </xdr:to>
        <xdr:sp macro="" textlink="">
          <xdr:nvSpPr>
            <xdr:cNvPr id="96275" name="Object 19" hidden="1">
              <a:extLst>
                <a:ext uri="{63B3BB69-23CF-44E3-9099-C40C66FF867C}">
                  <a14:compatExt spid="_x0000_s96275"/>
                </a:ext>
              </a:extLst>
            </xdr:cNvPr>
            <xdr:cNvSpPr/>
          </xdr:nvSpPr>
          <xdr:spPr>
            <a:xfrm>
              <a:off x="0" y="0"/>
              <a:ext cx="0" cy="0"/>
            </a:xfrm>
            <a:prstGeom prst="rect">
              <a:avLst/>
            </a:prstGeom>
          </xdr:spPr>
        </xdr:sp>
        <xdr:clientData/>
      </xdr:twoCellAnchor>
    </mc:Choice>
    <mc:Fallback/>
  </mc:AlternateContent>
  <xdr:twoCellAnchor editAs="oneCell">
    <xdr:from>
      <xdr:col>5</xdr:col>
      <xdr:colOff>224117</xdr:colOff>
      <xdr:row>32</xdr:row>
      <xdr:rowOff>0</xdr:rowOff>
    </xdr:from>
    <xdr:to>
      <xdr:col>6</xdr:col>
      <xdr:colOff>358588</xdr:colOff>
      <xdr:row>32</xdr:row>
      <xdr:rowOff>960396</xdr:rowOff>
    </xdr:to>
    <xdr:pic>
      <xdr:nvPicPr>
        <xdr:cNvPr id="16" name="15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812" t="40015" r="37211" b="38381"/>
        <a:stretch/>
      </xdr:blipFill>
      <xdr:spPr bwMode="auto">
        <a:xfrm>
          <a:off x="3653117" y="15856324"/>
          <a:ext cx="3081618" cy="960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228600</xdr:colOff>
          <xdr:row>35</xdr:row>
          <xdr:rowOff>161925</xdr:rowOff>
        </xdr:from>
        <xdr:to>
          <xdr:col>6</xdr:col>
          <xdr:colOff>266700</xdr:colOff>
          <xdr:row>38</xdr:row>
          <xdr:rowOff>266700</xdr:rowOff>
        </xdr:to>
        <xdr:sp macro="" textlink="">
          <xdr:nvSpPr>
            <xdr:cNvPr id="99329" name="Object 1" hidden="1">
              <a:extLst>
                <a:ext uri="{63B3BB69-23CF-44E3-9099-C40C66FF867C}">
                  <a14:compatExt spid="_x0000_s99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32</xdr:row>
          <xdr:rowOff>19050</xdr:rowOff>
        </xdr:from>
        <xdr:to>
          <xdr:col>5</xdr:col>
          <xdr:colOff>2886075</xdr:colOff>
          <xdr:row>32</xdr:row>
          <xdr:rowOff>1885950</xdr:rowOff>
        </xdr:to>
        <xdr:sp macro="" textlink="">
          <xdr:nvSpPr>
            <xdr:cNvPr id="99330" name="Object 2" hidden="1">
              <a:extLst>
                <a:ext uri="{63B3BB69-23CF-44E3-9099-C40C66FF867C}">
                  <a14:compatExt spid="_x0000_s99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xdr:row>
          <xdr:rowOff>247650</xdr:rowOff>
        </xdr:from>
        <xdr:to>
          <xdr:col>6</xdr:col>
          <xdr:colOff>314325</xdr:colOff>
          <xdr:row>6</xdr:row>
          <xdr:rowOff>323850</xdr:rowOff>
        </xdr:to>
        <xdr:sp macro="" textlink="">
          <xdr:nvSpPr>
            <xdr:cNvPr id="99331" name="Object 3" hidden="1">
              <a:extLst>
                <a:ext uri="{63B3BB69-23CF-44E3-9099-C40C66FF867C}">
                  <a14:compatExt spid="_x0000_s99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6</xdr:row>
          <xdr:rowOff>304800</xdr:rowOff>
        </xdr:from>
        <xdr:to>
          <xdr:col>5</xdr:col>
          <xdr:colOff>2838450</xdr:colOff>
          <xdr:row>11</xdr:row>
          <xdr:rowOff>85725</xdr:rowOff>
        </xdr:to>
        <xdr:sp macro="" textlink="">
          <xdr:nvSpPr>
            <xdr:cNvPr id="99332" name="Object 4" hidden="1">
              <a:extLst>
                <a:ext uri="{63B3BB69-23CF-44E3-9099-C40C66FF867C}">
                  <a14:compatExt spid="_x0000_s99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16</xdr:row>
          <xdr:rowOff>76200</xdr:rowOff>
        </xdr:from>
        <xdr:to>
          <xdr:col>6</xdr:col>
          <xdr:colOff>304800</xdr:colOff>
          <xdr:row>20</xdr:row>
          <xdr:rowOff>66675</xdr:rowOff>
        </xdr:to>
        <xdr:sp macro="" textlink="">
          <xdr:nvSpPr>
            <xdr:cNvPr id="99333" name="Object 5" hidden="1">
              <a:extLst>
                <a:ext uri="{63B3BB69-23CF-44E3-9099-C40C66FF867C}">
                  <a14:compatExt spid="_x0000_s99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24</xdr:row>
          <xdr:rowOff>76200</xdr:rowOff>
        </xdr:from>
        <xdr:to>
          <xdr:col>5</xdr:col>
          <xdr:colOff>2790825</xdr:colOff>
          <xdr:row>25</xdr:row>
          <xdr:rowOff>590550</xdr:rowOff>
        </xdr:to>
        <xdr:sp macro="" textlink="">
          <xdr:nvSpPr>
            <xdr:cNvPr id="99334" name="Object 6" hidden="1">
              <a:extLst>
                <a:ext uri="{63B3BB69-23CF-44E3-9099-C40C66FF867C}">
                  <a14:compatExt spid="_x0000_s99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28</xdr:row>
          <xdr:rowOff>76200</xdr:rowOff>
        </xdr:from>
        <xdr:to>
          <xdr:col>6</xdr:col>
          <xdr:colOff>314325</xdr:colOff>
          <xdr:row>31</xdr:row>
          <xdr:rowOff>304800</xdr:rowOff>
        </xdr:to>
        <xdr:sp macro="" textlink="">
          <xdr:nvSpPr>
            <xdr:cNvPr id="99335" name="Object 7" hidden="1">
              <a:extLst>
                <a:ext uri="{63B3BB69-23CF-44E3-9099-C40C66FF867C}">
                  <a14:compatExt spid="_x0000_s99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26</xdr:row>
          <xdr:rowOff>152400</xdr:rowOff>
        </xdr:from>
        <xdr:to>
          <xdr:col>5</xdr:col>
          <xdr:colOff>2628900</xdr:colOff>
          <xdr:row>27</xdr:row>
          <xdr:rowOff>581025</xdr:rowOff>
        </xdr:to>
        <xdr:sp macro="" textlink="">
          <xdr:nvSpPr>
            <xdr:cNvPr id="99336" name="Object 8" hidden="1">
              <a:extLst>
                <a:ext uri="{63B3BB69-23CF-44E3-9099-C40C66FF867C}">
                  <a14:compatExt spid="_x0000_s99336"/>
                </a:ext>
              </a:extLst>
            </xdr:cNvPr>
            <xdr:cNvSpPr/>
          </xdr:nvSpPr>
          <xdr:spPr>
            <a:xfrm>
              <a:off x="0" y="0"/>
              <a:ext cx="0" cy="0"/>
            </a:xfrm>
            <a:prstGeom prst="rect">
              <a:avLst/>
            </a:prstGeom>
          </xdr:spPr>
        </xdr:sp>
        <xdr:clientData/>
      </xdr:twoCellAnchor>
    </mc:Choice>
    <mc:Fallback/>
  </mc:AlternateContent>
  <xdr:twoCellAnchor editAs="oneCell">
    <xdr:from>
      <xdr:col>5</xdr:col>
      <xdr:colOff>134471</xdr:colOff>
      <xdr:row>33</xdr:row>
      <xdr:rowOff>336176</xdr:rowOff>
    </xdr:from>
    <xdr:to>
      <xdr:col>6</xdr:col>
      <xdr:colOff>268942</xdr:colOff>
      <xdr:row>34</xdr:row>
      <xdr:rowOff>467337</xdr:rowOff>
    </xdr:to>
    <xdr:pic>
      <xdr:nvPicPr>
        <xdr:cNvPr id="11" name="1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812" t="40015" r="37211" b="38381"/>
        <a:stretch/>
      </xdr:blipFill>
      <xdr:spPr bwMode="auto">
        <a:xfrm>
          <a:off x="3742765" y="12763500"/>
          <a:ext cx="3081618" cy="960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295275</xdr:colOff>
          <xdr:row>43</xdr:row>
          <xdr:rowOff>142875</xdr:rowOff>
        </xdr:from>
        <xdr:to>
          <xdr:col>6</xdr:col>
          <xdr:colOff>333375</xdr:colOff>
          <xdr:row>44</xdr:row>
          <xdr:rowOff>619125</xdr:rowOff>
        </xdr:to>
        <xdr:sp macro="" textlink="">
          <xdr:nvSpPr>
            <xdr:cNvPr id="100353" name="Object 1" hidden="1">
              <a:extLst>
                <a:ext uri="{63B3BB69-23CF-44E3-9099-C40C66FF867C}">
                  <a14:compatExt spid="_x0000_s100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42</xdr:row>
          <xdr:rowOff>38100</xdr:rowOff>
        </xdr:from>
        <xdr:to>
          <xdr:col>6</xdr:col>
          <xdr:colOff>28575</xdr:colOff>
          <xdr:row>42</xdr:row>
          <xdr:rowOff>1895475</xdr:rowOff>
        </xdr:to>
        <xdr:sp macro="" textlink="">
          <xdr:nvSpPr>
            <xdr:cNvPr id="100354" name="Object 2" hidden="1">
              <a:extLst>
                <a:ext uri="{63B3BB69-23CF-44E3-9099-C40C66FF867C}">
                  <a14:compatExt spid="_x0000_s100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xdr:row>
          <xdr:rowOff>209550</xdr:rowOff>
        </xdr:from>
        <xdr:to>
          <xdr:col>6</xdr:col>
          <xdr:colOff>276225</xdr:colOff>
          <xdr:row>6</xdr:row>
          <xdr:rowOff>276225</xdr:rowOff>
        </xdr:to>
        <xdr:sp macro="" textlink="">
          <xdr:nvSpPr>
            <xdr:cNvPr id="100355" name="Object 3" hidden="1">
              <a:extLst>
                <a:ext uri="{63B3BB69-23CF-44E3-9099-C40C66FF867C}">
                  <a14:compatExt spid="_x0000_s100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6</xdr:row>
          <xdr:rowOff>276225</xdr:rowOff>
        </xdr:from>
        <xdr:to>
          <xdr:col>5</xdr:col>
          <xdr:colOff>2733675</xdr:colOff>
          <xdr:row>11</xdr:row>
          <xdr:rowOff>47625</xdr:rowOff>
        </xdr:to>
        <xdr:sp macro="" textlink="">
          <xdr:nvSpPr>
            <xdr:cNvPr id="100356" name="Object 4" hidden="1">
              <a:extLst>
                <a:ext uri="{63B3BB69-23CF-44E3-9099-C40C66FF867C}">
                  <a14:compatExt spid="_x0000_s100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26</xdr:row>
          <xdr:rowOff>76200</xdr:rowOff>
        </xdr:from>
        <xdr:to>
          <xdr:col>6</xdr:col>
          <xdr:colOff>314325</xdr:colOff>
          <xdr:row>30</xdr:row>
          <xdr:rowOff>38100</xdr:rowOff>
        </xdr:to>
        <xdr:sp macro="" textlink="">
          <xdr:nvSpPr>
            <xdr:cNvPr id="100358" name="Object 6" hidden="1">
              <a:extLst>
                <a:ext uri="{63B3BB69-23CF-44E3-9099-C40C66FF867C}">
                  <a14:compatExt spid="_x0000_s100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31</xdr:row>
          <xdr:rowOff>38100</xdr:rowOff>
        </xdr:from>
        <xdr:to>
          <xdr:col>5</xdr:col>
          <xdr:colOff>2819400</xdr:colOff>
          <xdr:row>31</xdr:row>
          <xdr:rowOff>1371600</xdr:rowOff>
        </xdr:to>
        <xdr:sp macro="" textlink="">
          <xdr:nvSpPr>
            <xdr:cNvPr id="100359" name="Object 7" hidden="1">
              <a:extLst>
                <a:ext uri="{63B3BB69-23CF-44E3-9099-C40C66FF867C}">
                  <a14:compatExt spid="_x0000_s100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35</xdr:row>
          <xdr:rowOff>76200</xdr:rowOff>
        </xdr:from>
        <xdr:to>
          <xdr:col>6</xdr:col>
          <xdr:colOff>295275</xdr:colOff>
          <xdr:row>40</xdr:row>
          <xdr:rowOff>57150</xdr:rowOff>
        </xdr:to>
        <xdr:sp macro="" textlink="">
          <xdr:nvSpPr>
            <xdr:cNvPr id="100360" name="Object 8" hidden="1">
              <a:extLst>
                <a:ext uri="{63B3BB69-23CF-44E3-9099-C40C66FF867C}">
                  <a14:compatExt spid="_x0000_s100360"/>
                </a:ext>
              </a:extLst>
            </xdr:cNvPr>
            <xdr:cNvSpPr/>
          </xdr:nvSpPr>
          <xdr:spPr>
            <a:xfrm>
              <a:off x="0" y="0"/>
              <a:ext cx="0" cy="0"/>
            </a:xfrm>
            <a:prstGeom prst="rect">
              <a:avLst/>
            </a:prstGeom>
          </xdr:spPr>
        </xdr:sp>
        <xdr:clientData/>
      </xdr:twoCellAnchor>
    </mc:Choice>
    <mc:Fallback/>
  </mc:AlternateContent>
  <xdr:twoCellAnchor>
    <xdr:from>
      <xdr:col>5</xdr:col>
      <xdr:colOff>119759</xdr:colOff>
      <xdr:row>23</xdr:row>
      <xdr:rowOff>17688</xdr:rowOff>
    </xdr:from>
    <xdr:to>
      <xdr:col>6</xdr:col>
      <xdr:colOff>352424</xdr:colOff>
      <xdr:row>24</xdr:row>
      <xdr:rowOff>1083105</xdr:rowOff>
    </xdr:to>
    <xdr:grpSp>
      <xdr:nvGrpSpPr>
        <xdr:cNvPr id="100780" name="Grupo 22"/>
        <xdr:cNvGrpSpPr>
          <a:grpSpLocks/>
        </xdr:cNvGrpSpPr>
      </xdr:nvGrpSpPr>
      <xdr:grpSpPr bwMode="auto">
        <a:xfrm>
          <a:off x="3223788" y="8758276"/>
          <a:ext cx="3179812" cy="2174800"/>
          <a:chOff x="3728381" y="7709640"/>
          <a:chExt cx="3283300" cy="2221307"/>
        </a:xfrm>
      </xdr:grpSpPr>
      <xdr:grpSp>
        <xdr:nvGrpSpPr>
          <xdr:cNvPr id="100781" name="21 Grupo"/>
          <xdr:cNvGrpSpPr>
            <a:grpSpLocks/>
          </xdr:cNvGrpSpPr>
        </xdr:nvGrpSpPr>
        <xdr:grpSpPr bwMode="auto">
          <a:xfrm>
            <a:off x="3728381" y="7709640"/>
            <a:ext cx="3151236" cy="2221307"/>
            <a:chOff x="3551489" y="7870380"/>
            <a:chExt cx="3143233" cy="2219711"/>
          </a:xfrm>
        </xdr:grpSpPr>
        <mc:AlternateContent xmlns:mc="http://schemas.openxmlformats.org/markup-compatibility/2006">
          <mc:Choice xmlns:a14="http://schemas.microsoft.com/office/drawing/2010/main" Requires="a14">
            <xdr:sp macro="" textlink="">
              <xdr:nvSpPr>
                <xdr:cNvPr id="100363" name="Object 11" hidden="1">
                  <a:extLst>
                    <a:ext uri="{63B3BB69-23CF-44E3-9099-C40C66FF867C}">
                      <a14:compatExt spid="_x0000_s100363"/>
                    </a:ext>
                  </a:extLst>
                </xdr:cNvPr>
                <xdr:cNvSpPr/>
              </xdr:nvSpPr>
              <xdr:spPr>
                <a:xfrm>
                  <a:off x="3551489" y="7870380"/>
                  <a:ext cx="3143233" cy="2219711"/>
                </a:xfrm>
                <a:prstGeom prst="rect">
                  <a:avLst/>
                </a:prstGeom>
              </xdr:spPr>
            </xdr:sp>
          </mc:Choice>
          <mc:Fallback/>
        </mc:AlternateContent>
        <xdr:sp macro="" textlink="">
          <xdr:nvSpPr>
            <xdr:cNvPr id="16" name="23 CuadroTexto"/>
            <xdr:cNvSpPr txBox="1"/>
          </xdr:nvSpPr>
          <xdr:spPr>
            <a:xfrm>
              <a:off x="4682474" y="9343736"/>
              <a:ext cx="737608" cy="3392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a:t>61 ó 81</a:t>
              </a:r>
            </a:p>
          </xdr:txBody>
        </xdr:sp>
      </xdr:grpSp>
      <xdr:sp macro="" textlink="">
        <xdr:nvSpPr>
          <xdr:cNvPr id="14" name="13 CuadroTexto"/>
          <xdr:cNvSpPr txBox="1"/>
        </xdr:nvSpPr>
        <xdr:spPr>
          <a:xfrm>
            <a:off x="6627148" y="8747561"/>
            <a:ext cx="384533" cy="34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a:t>39</a:t>
            </a:r>
          </a:p>
        </xdr:txBody>
      </xdr:sp>
    </xdr:grpSp>
    <xdr:clientData/>
  </xdr:twoCellAnchor>
  <mc:AlternateContent xmlns:mc="http://schemas.openxmlformats.org/markup-compatibility/2006">
    <mc:Choice xmlns:a14="http://schemas.microsoft.com/office/drawing/2010/main" Requires="a14">
      <xdr:twoCellAnchor editAs="oneCell">
        <xdr:from>
          <xdr:col>5</xdr:col>
          <xdr:colOff>323850</xdr:colOff>
          <xdr:row>12</xdr:row>
          <xdr:rowOff>152400</xdr:rowOff>
        </xdr:from>
        <xdr:to>
          <xdr:col>6</xdr:col>
          <xdr:colOff>266700</xdr:colOff>
          <xdr:row>15</xdr:row>
          <xdr:rowOff>228600</xdr:rowOff>
        </xdr:to>
        <xdr:sp macro="" textlink="">
          <xdr:nvSpPr>
            <xdr:cNvPr id="100365" name="Object 13" hidden="1">
              <a:extLst>
                <a:ext uri="{63B3BB69-23CF-44E3-9099-C40C66FF867C}">
                  <a14:compatExt spid="_x0000_s100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17</xdr:row>
          <xdr:rowOff>95250</xdr:rowOff>
        </xdr:from>
        <xdr:to>
          <xdr:col>6</xdr:col>
          <xdr:colOff>0</xdr:colOff>
          <xdr:row>22</xdr:row>
          <xdr:rowOff>200025</xdr:rowOff>
        </xdr:to>
        <xdr:sp macro="" textlink="">
          <xdr:nvSpPr>
            <xdr:cNvPr id="100366" name="Object 14" hidden="1">
              <a:extLst>
                <a:ext uri="{63B3BB69-23CF-44E3-9099-C40C66FF867C}">
                  <a14:compatExt spid="_x0000_s100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31</xdr:row>
          <xdr:rowOff>1447800</xdr:rowOff>
        </xdr:from>
        <xdr:to>
          <xdr:col>5</xdr:col>
          <xdr:colOff>2743200</xdr:colOff>
          <xdr:row>33</xdr:row>
          <xdr:rowOff>638175</xdr:rowOff>
        </xdr:to>
        <xdr:sp macro="" textlink="">
          <xdr:nvSpPr>
            <xdr:cNvPr id="100367" name="Object 15" hidden="1">
              <a:extLst>
                <a:ext uri="{63B3BB69-23CF-44E3-9099-C40C66FF867C}">
                  <a14:compatExt spid="_x0000_s100367"/>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25</xdr:col>
      <xdr:colOff>371475</xdr:colOff>
      <xdr:row>23</xdr:row>
      <xdr:rowOff>123825</xdr:rowOff>
    </xdr:from>
    <xdr:to>
      <xdr:col>28</xdr:col>
      <xdr:colOff>466725</xdr:colOff>
      <xdr:row>31</xdr:row>
      <xdr:rowOff>123825</xdr:rowOff>
    </xdr:to>
    <xdr:pic>
      <xdr:nvPicPr>
        <xdr:cNvPr id="128213"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54775" y="14116050"/>
          <a:ext cx="2381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85725</xdr:colOff>
      <xdr:row>5</xdr:row>
      <xdr:rowOff>666750</xdr:rowOff>
    </xdr:from>
    <xdr:to>
      <xdr:col>33</xdr:col>
      <xdr:colOff>495300</xdr:colOff>
      <xdr:row>6</xdr:row>
      <xdr:rowOff>495300</xdr:rowOff>
    </xdr:to>
    <xdr:pic>
      <xdr:nvPicPr>
        <xdr:cNvPr id="128214"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79025" y="4371975"/>
          <a:ext cx="26955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76200</xdr:colOff>
      <xdr:row>10</xdr:row>
      <xdr:rowOff>0</xdr:rowOff>
    </xdr:from>
    <xdr:to>
      <xdr:col>27</xdr:col>
      <xdr:colOff>742950</xdr:colOff>
      <xdr:row>17</xdr:row>
      <xdr:rowOff>95250</xdr:rowOff>
    </xdr:to>
    <xdr:pic>
      <xdr:nvPicPr>
        <xdr:cNvPr id="128215" name="3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859500" y="11325225"/>
          <a:ext cx="219075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352425</xdr:colOff>
      <xdr:row>10</xdr:row>
      <xdr:rowOff>0</xdr:rowOff>
    </xdr:from>
    <xdr:to>
      <xdr:col>32</xdr:col>
      <xdr:colOff>304800</xdr:colOff>
      <xdr:row>14</xdr:row>
      <xdr:rowOff>238125</xdr:rowOff>
    </xdr:to>
    <xdr:pic>
      <xdr:nvPicPr>
        <xdr:cNvPr id="128216" name="5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183725" y="11325225"/>
          <a:ext cx="2238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476250</xdr:colOff>
      <xdr:row>3</xdr:row>
      <xdr:rowOff>352425</xdr:rowOff>
    </xdr:from>
    <xdr:to>
      <xdr:col>6</xdr:col>
      <xdr:colOff>390525</xdr:colOff>
      <xdr:row>3</xdr:row>
      <xdr:rowOff>1104900</xdr:rowOff>
    </xdr:to>
    <xdr:pic>
      <xdr:nvPicPr>
        <xdr:cNvPr id="128217" name="1 Imagen"/>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l="35471" t="15591" r="37566" b="70430"/>
        <a:stretch>
          <a:fillRect/>
        </a:stretch>
      </xdr:blipFill>
      <xdr:spPr bwMode="auto">
        <a:xfrm>
          <a:off x="4086225" y="1009650"/>
          <a:ext cx="30099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723900</xdr:colOff>
      <xdr:row>6</xdr:row>
      <xdr:rowOff>1009650</xdr:rowOff>
    </xdr:from>
    <xdr:to>
      <xdr:col>25</xdr:col>
      <xdr:colOff>361950</xdr:colOff>
      <xdr:row>7</xdr:row>
      <xdr:rowOff>485775</xdr:rowOff>
    </xdr:to>
    <xdr:pic>
      <xdr:nvPicPr>
        <xdr:cNvPr id="128218" name="8 Image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192625" y="6238875"/>
          <a:ext cx="19526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8</xdr:row>
      <xdr:rowOff>190500</xdr:rowOff>
    </xdr:from>
    <xdr:to>
      <xdr:col>5</xdr:col>
      <xdr:colOff>2924175</xdr:colOff>
      <xdr:row>8</xdr:row>
      <xdr:rowOff>1314450</xdr:rowOff>
    </xdr:to>
    <xdr:pic>
      <xdr:nvPicPr>
        <xdr:cNvPr id="128219" name="12 Imagen"/>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35106" t="49805" r="20357" b="21654"/>
        <a:stretch>
          <a:fillRect/>
        </a:stretch>
      </xdr:blipFill>
      <xdr:spPr bwMode="auto">
        <a:xfrm>
          <a:off x="4610100" y="8467725"/>
          <a:ext cx="19240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7</xdr:row>
      <xdr:rowOff>190500</xdr:rowOff>
    </xdr:from>
    <xdr:to>
      <xdr:col>6</xdr:col>
      <xdr:colOff>371475</xdr:colOff>
      <xdr:row>7</xdr:row>
      <xdr:rowOff>1352550</xdr:rowOff>
    </xdr:to>
    <xdr:pic>
      <xdr:nvPicPr>
        <xdr:cNvPr id="128220" name="14 Imagen"/>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15884" t="57899" r="36958" b="27530"/>
        <a:stretch>
          <a:fillRect/>
        </a:stretch>
      </xdr:blipFill>
      <xdr:spPr bwMode="auto">
        <a:xfrm>
          <a:off x="4162425" y="6943725"/>
          <a:ext cx="29146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5</xdr:row>
      <xdr:rowOff>1400175</xdr:rowOff>
    </xdr:from>
    <xdr:to>
      <xdr:col>6</xdr:col>
      <xdr:colOff>581025</xdr:colOff>
      <xdr:row>6</xdr:row>
      <xdr:rowOff>1485900</xdr:rowOff>
    </xdr:to>
    <xdr:pic>
      <xdr:nvPicPr>
        <xdr:cNvPr id="128221" name="15 Imagen"/>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26382" t="43878" r="24838" b="39259"/>
        <a:stretch>
          <a:fillRect/>
        </a:stretch>
      </xdr:blipFill>
      <xdr:spPr bwMode="auto">
        <a:xfrm>
          <a:off x="3695700" y="5105400"/>
          <a:ext cx="359092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1123950</xdr:colOff>
      <xdr:row>5</xdr:row>
      <xdr:rowOff>85725</xdr:rowOff>
    </xdr:from>
    <xdr:to>
      <xdr:col>5</xdr:col>
      <xdr:colOff>2724150</xdr:colOff>
      <xdr:row>5</xdr:row>
      <xdr:rowOff>1485900</xdr:rowOff>
    </xdr:to>
    <xdr:pic>
      <xdr:nvPicPr>
        <xdr:cNvPr id="128222" name="20 Imagen"/>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26276" t="20142" r="49988" b="39954"/>
        <a:stretch>
          <a:fillRect/>
        </a:stretch>
      </xdr:blipFill>
      <xdr:spPr bwMode="auto">
        <a:xfrm>
          <a:off x="4733925" y="3790950"/>
          <a:ext cx="16002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1028700</xdr:colOff>
      <xdr:row>3</xdr:row>
      <xdr:rowOff>1524000</xdr:rowOff>
    </xdr:from>
    <xdr:to>
      <xdr:col>5</xdr:col>
      <xdr:colOff>2847975</xdr:colOff>
      <xdr:row>4</xdr:row>
      <xdr:rowOff>1504950</xdr:rowOff>
    </xdr:to>
    <xdr:pic>
      <xdr:nvPicPr>
        <xdr:cNvPr id="128223" name="21 Imagen"/>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28500" t="32291" r="21313" b="35751"/>
        <a:stretch>
          <a:fillRect/>
        </a:stretch>
      </xdr:blipFill>
      <xdr:spPr bwMode="auto">
        <a:xfrm>
          <a:off x="4638675" y="2181225"/>
          <a:ext cx="1819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581025</xdr:colOff>
      <xdr:row>9</xdr:row>
      <xdr:rowOff>76200</xdr:rowOff>
    </xdr:from>
    <xdr:to>
      <xdr:col>6</xdr:col>
      <xdr:colOff>257175</xdr:colOff>
      <xdr:row>9</xdr:row>
      <xdr:rowOff>1447800</xdr:rowOff>
    </xdr:to>
    <xdr:pic>
      <xdr:nvPicPr>
        <xdr:cNvPr id="128224" name="22 Imagen"/>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35068" t="44801" r="40807" b="32236"/>
        <a:stretch>
          <a:fillRect/>
        </a:stretch>
      </xdr:blipFill>
      <xdr:spPr bwMode="auto">
        <a:xfrm>
          <a:off x="4191000" y="9877425"/>
          <a:ext cx="27717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371475</xdr:colOff>
      <xdr:row>23</xdr:row>
      <xdr:rowOff>123825</xdr:rowOff>
    </xdr:from>
    <xdr:to>
      <xdr:col>28</xdr:col>
      <xdr:colOff>466725</xdr:colOff>
      <xdr:row>31</xdr:row>
      <xdr:rowOff>123825</xdr:rowOff>
    </xdr:to>
    <xdr:pic>
      <xdr:nvPicPr>
        <xdr:cNvPr id="129134"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68875" y="14106525"/>
          <a:ext cx="2381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85725</xdr:colOff>
      <xdr:row>5</xdr:row>
      <xdr:rowOff>666750</xdr:rowOff>
    </xdr:from>
    <xdr:to>
      <xdr:col>33</xdr:col>
      <xdr:colOff>495300</xdr:colOff>
      <xdr:row>6</xdr:row>
      <xdr:rowOff>495300</xdr:rowOff>
    </xdr:to>
    <xdr:pic>
      <xdr:nvPicPr>
        <xdr:cNvPr id="129135"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193125" y="4362450"/>
          <a:ext cx="26955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76200</xdr:colOff>
      <xdr:row>10</xdr:row>
      <xdr:rowOff>0</xdr:rowOff>
    </xdr:from>
    <xdr:to>
      <xdr:col>27</xdr:col>
      <xdr:colOff>742950</xdr:colOff>
      <xdr:row>17</xdr:row>
      <xdr:rowOff>95250</xdr:rowOff>
    </xdr:to>
    <xdr:pic>
      <xdr:nvPicPr>
        <xdr:cNvPr id="129136" name="3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73600" y="11315700"/>
          <a:ext cx="219075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352425</xdr:colOff>
      <xdr:row>10</xdr:row>
      <xdr:rowOff>0</xdr:rowOff>
    </xdr:from>
    <xdr:to>
      <xdr:col>32</xdr:col>
      <xdr:colOff>304800</xdr:colOff>
      <xdr:row>14</xdr:row>
      <xdr:rowOff>238125</xdr:rowOff>
    </xdr:to>
    <xdr:pic>
      <xdr:nvPicPr>
        <xdr:cNvPr id="129137" name="5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697825" y="11315700"/>
          <a:ext cx="2238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476250</xdr:colOff>
      <xdr:row>3</xdr:row>
      <xdr:rowOff>352425</xdr:rowOff>
    </xdr:from>
    <xdr:to>
      <xdr:col>6</xdr:col>
      <xdr:colOff>390525</xdr:colOff>
      <xdr:row>3</xdr:row>
      <xdr:rowOff>1104900</xdr:rowOff>
    </xdr:to>
    <xdr:pic>
      <xdr:nvPicPr>
        <xdr:cNvPr id="129138" name="1 Imagen"/>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l="35471" t="15591" r="37566" b="70430"/>
        <a:stretch>
          <a:fillRect/>
        </a:stretch>
      </xdr:blipFill>
      <xdr:spPr bwMode="auto">
        <a:xfrm>
          <a:off x="2905125" y="1000125"/>
          <a:ext cx="30099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8</xdr:row>
      <xdr:rowOff>190500</xdr:rowOff>
    </xdr:from>
    <xdr:to>
      <xdr:col>5</xdr:col>
      <xdr:colOff>2924175</xdr:colOff>
      <xdr:row>8</xdr:row>
      <xdr:rowOff>1314450</xdr:rowOff>
    </xdr:to>
    <xdr:pic>
      <xdr:nvPicPr>
        <xdr:cNvPr id="129139" name="20 Imagen"/>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5106" t="49805" r="20357" b="21654"/>
        <a:stretch>
          <a:fillRect/>
        </a:stretch>
      </xdr:blipFill>
      <xdr:spPr bwMode="auto">
        <a:xfrm>
          <a:off x="3429000" y="8458200"/>
          <a:ext cx="19240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7</xdr:row>
      <xdr:rowOff>190500</xdr:rowOff>
    </xdr:from>
    <xdr:to>
      <xdr:col>6</xdr:col>
      <xdr:colOff>371475</xdr:colOff>
      <xdr:row>7</xdr:row>
      <xdr:rowOff>1352550</xdr:rowOff>
    </xdr:to>
    <xdr:pic>
      <xdr:nvPicPr>
        <xdr:cNvPr id="129140" name="21 Imagen"/>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5884" t="57899" r="36958" b="27530"/>
        <a:stretch>
          <a:fillRect/>
        </a:stretch>
      </xdr:blipFill>
      <xdr:spPr bwMode="auto">
        <a:xfrm>
          <a:off x="2981325" y="6934200"/>
          <a:ext cx="29146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5</xdr:row>
      <xdr:rowOff>1400175</xdr:rowOff>
    </xdr:from>
    <xdr:to>
      <xdr:col>6</xdr:col>
      <xdr:colOff>581025</xdr:colOff>
      <xdr:row>6</xdr:row>
      <xdr:rowOff>1485900</xdr:rowOff>
    </xdr:to>
    <xdr:pic>
      <xdr:nvPicPr>
        <xdr:cNvPr id="129141" name="22 Imagen"/>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26382" t="43878" r="24838" b="39259"/>
        <a:stretch>
          <a:fillRect/>
        </a:stretch>
      </xdr:blipFill>
      <xdr:spPr bwMode="auto">
        <a:xfrm>
          <a:off x="2514600" y="5095875"/>
          <a:ext cx="359092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1123950</xdr:colOff>
      <xdr:row>5</xdr:row>
      <xdr:rowOff>85725</xdr:rowOff>
    </xdr:from>
    <xdr:to>
      <xdr:col>5</xdr:col>
      <xdr:colOff>2724150</xdr:colOff>
      <xdr:row>5</xdr:row>
      <xdr:rowOff>1485900</xdr:rowOff>
    </xdr:to>
    <xdr:pic>
      <xdr:nvPicPr>
        <xdr:cNvPr id="129142" name="23 Imagen"/>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26276" t="20142" r="49988" b="39954"/>
        <a:stretch>
          <a:fillRect/>
        </a:stretch>
      </xdr:blipFill>
      <xdr:spPr bwMode="auto">
        <a:xfrm>
          <a:off x="3552825" y="3781425"/>
          <a:ext cx="16002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1028700</xdr:colOff>
      <xdr:row>3</xdr:row>
      <xdr:rowOff>1524000</xdr:rowOff>
    </xdr:from>
    <xdr:to>
      <xdr:col>5</xdr:col>
      <xdr:colOff>2847975</xdr:colOff>
      <xdr:row>4</xdr:row>
      <xdr:rowOff>1504950</xdr:rowOff>
    </xdr:to>
    <xdr:pic>
      <xdr:nvPicPr>
        <xdr:cNvPr id="129143" name="24 Imagen"/>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28500" t="32291" r="21313" b="35751"/>
        <a:stretch>
          <a:fillRect/>
        </a:stretch>
      </xdr:blipFill>
      <xdr:spPr bwMode="auto">
        <a:xfrm>
          <a:off x="3457575" y="2171700"/>
          <a:ext cx="1819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581025</xdr:colOff>
      <xdr:row>9</xdr:row>
      <xdr:rowOff>76200</xdr:rowOff>
    </xdr:from>
    <xdr:to>
      <xdr:col>6</xdr:col>
      <xdr:colOff>257175</xdr:colOff>
      <xdr:row>9</xdr:row>
      <xdr:rowOff>1447800</xdr:rowOff>
    </xdr:to>
    <xdr:pic>
      <xdr:nvPicPr>
        <xdr:cNvPr id="129144" name="25 Imagen"/>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35068" t="44801" r="40807" b="32236"/>
        <a:stretch>
          <a:fillRect/>
        </a:stretch>
      </xdr:blipFill>
      <xdr:spPr bwMode="auto">
        <a:xfrm>
          <a:off x="3009900" y="9867900"/>
          <a:ext cx="27717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25</xdr:col>
      <xdr:colOff>371475</xdr:colOff>
      <xdr:row>23</xdr:row>
      <xdr:rowOff>123825</xdr:rowOff>
    </xdr:from>
    <xdr:to>
      <xdr:col>28</xdr:col>
      <xdr:colOff>466725</xdr:colOff>
      <xdr:row>31</xdr:row>
      <xdr:rowOff>123825</xdr:rowOff>
    </xdr:to>
    <xdr:pic>
      <xdr:nvPicPr>
        <xdr:cNvPr id="130158"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68875" y="14039850"/>
          <a:ext cx="2381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85725</xdr:colOff>
      <xdr:row>5</xdr:row>
      <xdr:rowOff>666750</xdr:rowOff>
    </xdr:from>
    <xdr:to>
      <xdr:col>33</xdr:col>
      <xdr:colOff>495300</xdr:colOff>
      <xdr:row>6</xdr:row>
      <xdr:rowOff>504825</xdr:rowOff>
    </xdr:to>
    <xdr:pic>
      <xdr:nvPicPr>
        <xdr:cNvPr id="130159"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193125" y="4343400"/>
          <a:ext cx="26955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76200</xdr:colOff>
      <xdr:row>10</xdr:row>
      <xdr:rowOff>0</xdr:rowOff>
    </xdr:from>
    <xdr:to>
      <xdr:col>27</xdr:col>
      <xdr:colOff>742950</xdr:colOff>
      <xdr:row>17</xdr:row>
      <xdr:rowOff>95250</xdr:rowOff>
    </xdr:to>
    <xdr:pic>
      <xdr:nvPicPr>
        <xdr:cNvPr id="130160" name="3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73600" y="11249025"/>
          <a:ext cx="219075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352425</xdr:colOff>
      <xdr:row>10</xdr:row>
      <xdr:rowOff>0</xdr:rowOff>
    </xdr:from>
    <xdr:to>
      <xdr:col>32</xdr:col>
      <xdr:colOff>304800</xdr:colOff>
      <xdr:row>14</xdr:row>
      <xdr:rowOff>238125</xdr:rowOff>
    </xdr:to>
    <xdr:pic>
      <xdr:nvPicPr>
        <xdr:cNvPr id="130161" name="5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697825" y="11249025"/>
          <a:ext cx="2238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476250</xdr:colOff>
      <xdr:row>3</xdr:row>
      <xdr:rowOff>352425</xdr:rowOff>
    </xdr:from>
    <xdr:to>
      <xdr:col>6</xdr:col>
      <xdr:colOff>390525</xdr:colOff>
      <xdr:row>3</xdr:row>
      <xdr:rowOff>1104900</xdr:rowOff>
    </xdr:to>
    <xdr:pic>
      <xdr:nvPicPr>
        <xdr:cNvPr id="130162" name="1 Imagen"/>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l="35471" t="15591" r="37566" b="70430"/>
        <a:stretch>
          <a:fillRect/>
        </a:stretch>
      </xdr:blipFill>
      <xdr:spPr bwMode="auto">
        <a:xfrm>
          <a:off x="2905125" y="1000125"/>
          <a:ext cx="30099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8</xdr:row>
      <xdr:rowOff>190500</xdr:rowOff>
    </xdr:from>
    <xdr:to>
      <xdr:col>5</xdr:col>
      <xdr:colOff>2924175</xdr:colOff>
      <xdr:row>8</xdr:row>
      <xdr:rowOff>1314450</xdr:rowOff>
    </xdr:to>
    <xdr:pic>
      <xdr:nvPicPr>
        <xdr:cNvPr id="130163" name="20 Imagen"/>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5106" t="49805" r="20357" b="21654"/>
        <a:stretch>
          <a:fillRect/>
        </a:stretch>
      </xdr:blipFill>
      <xdr:spPr bwMode="auto">
        <a:xfrm>
          <a:off x="3429000" y="8410575"/>
          <a:ext cx="19240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7</xdr:row>
      <xdr:rowOff>190500</xdr:rowOff>
    </xdr:from>
    <xdr:to>
      <xdr:col>6</xdr:col>
      <xdr:colOff>371475</xdr:colOff>
      <xdr:row>7</xdr:row>
      <xdr:rowOff>1352550</xdr:rowOff>
    </xdr:to>
    <xdr:pic>
      <xdr:nvPicPr>
        <xdr:cNvPr id="130164" name="21 Imagen"/>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5884" t="57899" r="36958" b="27530"/>
        <a:stretch>
          <a:fillRect/>
        </a:stretch>
      </xdr:blipFill>
      <xdr:spPr bwMode="auto">
        <a:xfrm>
          <a:off x="2981325" y="6896100"/>
          <a:ext cx="29146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5</xdr:row>
      <xdr:rowOff>1400175</xdr:rowOff>
    </xdr:from>
    <xdr:to>
      <xdr:col>6</xdr:col>
      <xdr:colOff>581025</xdr:colOff>
      <xdr:row>6</xdr:row>
      <xdr:rowOff>1485900</xdr:rowOff>
    </xdr:to>
    <xdr:pic>
      <xdr:nvPicPr>
        <xdr:cNvPr id="130165" name="22 Imagen"/>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26382" t="43878" r="24838" b="39259"/>
        <a:stretch>
          <a:fillRect/>
        </a:stretch>
      </xdr:blipFill>
      <xdr:spPr bwMode="auto">
        <a:xfrm>
          <a:off x="2514600" y="5076825"/>
          <a:ext cx="359092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1123950</xdr:colOff>
      <xdr:row>5</xdr:row>
      <xdr:rowOff>85725</xdr:rowOff>
    </xdr:from>
    <xdr:to>
      <xdr:col>5</xdr:col>
      <xdr:colOff>2724150</xdr:colOff>
      <xdr:row>5</xdr:row>
      <xdr:rowOff>1485900</xdr:rowOff>
    </xdr:to>
    <xdr:pic>
      <xdr:nvPicPr>
        <xdr:cNvPr id="130166" name="23 Imagen"/>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26276" t="20142" r="49988" b="39954"/>
        <a:stretch>
          <a:fillRect/>
        </a:stretch>
      </xdr:blipFill>
      <xdr:spPr bwMode="auto">
        <a:xfrm>
          <a:off x="3552825" y="3762375"/>
          <a:ext cx="16002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1028700</xdr:colOff>
      <xdr:row>3</xdr:row>
      <xdr:rowOff>1524000</xdr:rowOff>
    </xdr:from>
    <xdr:to>
      <xdr:col>5</xdr:col>
      <xdr:colOff>2847975</xdr:colOff>
      <xdr:row>4</xdr:row>
      <xdr:rowOff>1504950</xdr:rowOff>
    </xdr:to>
    <xdr:pic>
      <xdr:nvPicPr>
        <xdr:cNvPr id="130167" name="24 Imagen"/>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28500" t="32291" r="21313" b="35751"/>
        <a:stretch>
          <a:fillRect/>
        </a:stretch>
      </xdr:blipFill>
      <xdr:spPr bwMode="auto">
        <a:xfrm>
          <a:off x="3457575" y="2162175"/>
          <a:ext cx="1819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581025</xdr:colOff>
      <xdr:row>9</xdr:row>
      <xdr:rowOff>76200</xdr:rowOff>
    </xdr:from>
    <xdr:to>
      <xdr:col>6</xdr:col>
      <xdr:colOff>257175</xdr:colOff>
      <xdr:row>9</xdr:row>
      <xdr:rowOff>1447800</xdr:rowOff>
    </xdr:to>
    <xdr:pic>
      <xdr:nvPicPr>
        <xdr:cNvPr id="130168" name="25 Imagen"/>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35068" t="44801" r="40807" b="32236"/>
        <a:stretch>
          <a:fillRect/>
        </a:stretch>
      </xdr:blipFill>
      <xdr:spPr bwMode="auto">
        <a:xfrm>
          <a:off x="3009900" y="9810750"/>
          <a:ext cx="27717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25</xdr:col>
      <xdr:colOff>371475</xdr:colOff>
      <xdr:row>23</xdr:row>
      <xdr:rowOff>123825</xdr:rowOff>
    </xdr:from>
    <xdr:to>
      <xdr:col>28</xdr:col>
      <xdr:colOff>466725</xdr:colOff>
      <xdr:row>31</xdr:row>
      <xdr:rowOff>123825</xdr:rowOff>
    </xdr:to>
    <xdr:pic>
      <xdr:nvPicPr>
        <xdr:cNvPr id="13118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68875" y="14106525"/>
          <a:ext cx="2381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85725</xdr:colOff>
      <xdr:row>5</xdr:row>
      <xdr:rowOff>666750</xdr:rowOff>
    </xdr:from>
    <xdr:to>
      <xdr:col>33</xdr:col>
      <xdr:colOff>495300</xdr:colOff>
      <xdr:row>6</xdr:row>
      <xdr:rowOff>495300</xdr:rowOff>
    </xdr:to>
    <xdr:pic>
      <xdr:nvPicPr>
        <xdr:cNvPr id="13118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193125" y="4362450"/>
          <a:ext cx="26955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76200</xdr:colOff>
      <xdr:row>10</xdr:row>
      <xdr:rowOff>0</xdr:rowOff>
    </xdr:from>
    <xdr:to>
      <xdr:col>27</xdr:col>
      <xdr:colOff>742950</xdr:colOff>
      <xdr:row>17</xdr:row>
      <xdr:rowOff>95250</xdr:rowOff>
    </xdr:to>
    <xdr:pic>
      <xdr:nvPicPr>
        <xdr:cNvPr id="131184" name="3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73600" y="11315700"/>
          <a:ext cx="219075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352425</xdr:colOff>
      <xdr:row>10</xdr:row>
      <xdr:rowOff>0</xdr:rowOff>
    </xdr:from>
    <xdr:to>
      <xdr:col>32</xdr:col>
      <xdr:colOff>304800</xdr:colOff>
      <xdr:row>14</xdr:row>
      <xdr:rowOff>238125</xdr:rowOff>
    </xdr:to>
    <xdr:pic>
      <xdr:nvPicPr>
        <xdr:cNvPr id="131185" name="5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697825" y="11315700"/>
          <a:ext cx="2238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476250</xdr:colOff>
      <xdr:row>3</xdr:row>
      <xdr:rowOff>176893</xdr:rowOff>
    </xdr:from>
    <xdr:to>
      <xdr:col>6</xdr:col>
      <xdr:colOff>390525</xdr:colOff>
      <xdr:row>3</xdr:row>
      <xdr:rowOff>1104900</xdr:rowOff>
    </xdr:to>
    <xdr:pic>
      <xdr:nvPicPr>
        <xdr:cNvPr id="131186" name="1 Imagen"/>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l="35471" t="15591" r="37566" b="70430"/>
        <a:stretch>
          <a:fillRect/>
        </a:stretch>
      </xdr:blipFill>
      <xdr:spPr bwMode="auto">
        <a:xfrm>
          <a:off x="2898321" y="830036"/>
          <a:ext cx="3016704" cy="9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8</xdr:row>
      <xdr:rowOff>190500</xdr:rowOff>
    </xdr:from>
    <xdr:to>
      <xdr:col>5</xdr:col>
      <xdr:colOff>2924175</xdr:colOff>
      <xdr:row>8</xdr:row>
      <xdr:rowOff>1314450</xdr:rowOff>
    </xdr:to>
    <xdr:pic>
      <xdr:nvPicPr>
        <xdr:cNvPr id="131187" name="13 Imagen"/>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5106" t="49805" r="20357" b="21654"/>
        <a:stretch>
          <a:fillRect/>
        </a:stretch>
      </xdr:blipFill>
      <xdr:spPr bwMode="auto">
        <a:xfrm>
          <a:off x="3429000" y="8458200"/>
          <a:ext cx="19240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7</xdr:row>
      <xdr:rowOff>190500</xdr:rowOff>
    </xdr:from>
    <xdr:to>
      <xdr:col>6</xdr:col>
      <xdr:colOff>371475</xdr:colOff>
      <xdr:row>7</xdr:row>
      <xdr:rowOff>1352550</xdr:rowOff>
    </xdr:to>
    <xdr:pic>
      <xdr:nvPicPr>
        <xdr:cNvPr id="131188" name="14 Imagen"/>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5884" t="57899" r="36958" b="27530"/>
        <a:stretch>
          <a:fillRect/>
        </a:stretch>
      </xdr:blipFill>
      <xdr:spPr bwMode="auto">
        <a:xfrm>
          <a:off x="2981325" y="6934200"/>
          <a:ext cx="29146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5</xdr:row>
      <xdr:rowOff>1400175</xdr:rowOff>
    </xdr:from>
    <xdr:to>
      <xdr:col>6</xdr:col>
      <xdr:colOff>581025</xdr:colOff>
      <xdr:row>6</xdr:row>
      <xdr:rowOff>1485900</xdr:rowOff>
    </xdr:to>
    <xdr:pic>
      <xdr:nvPicPr>
        <xdr:cNvPr id="131189" name="15 Imagen"/>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26382" t="43878" r="24838" b="39259"/>
        <a:stretch>
          <a:fillRect/>
        </a:stretch>
      </xdr:blipFill>
      <xdr:spPr bwMode="auto">
        <a:xfrm>
          <a:off x="2514600" y="5095875"/>
          <a:ext cx="359092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1123950</xdr:colOff>
      <xdr:row>5</xdr:row>
      <xdr:rowOff>85725</xdr:rowOff>
    </xdr:from>
    <xdr:to>
      <xdr:col>5</xdr:col>
      <xdr:colOff>2724150</xdr:colOff>
      <xdr:row>5</xdr:row>
      <xdr:rowOff>1485900</xdr:rowOff>
    </xdr:to>
    <xdr:pic>
      <xdr:nvPicPr>
        <xdr:cNvPr id="131190" name="16 Imagen"/>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26276" t="20142" r="49988" b="39954"/>
        <a:stretch>
          <a:fillRect/>
        </a:stretch>
      </xdr:blipFill>
      <xdr:spPr bwMode="auto">
        <a:xfrm>
          <a:off x="3552825" y="3781425"/>
          <a:ext cx="16002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1028700</xdr:colOff>
      <xdr:row>3</xdr:row>
      <xdr:rowOff>1524000</xdr:rowOff>
    </xdr:from>
    <xdr:to>
      <xdr:col>5</xdr:col>
      <xdr:colOff>2847975</xdr:colOff>
      <xdr:row>4</xdr:row>
      <xdr:rowOff>1504950</xdr:rowOff>
    </xdr:to>
    <xdr:pic>
      <xdr:nvPicPr>
        <xdr:cNvPr id="131191" name="17 Imagen"/>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28500" t="32291" r="21313" b="35751"/>
        <a:stretch>
          <a:fillRect/>
        </a:stretch>
      </xdr:blipFill>
      <xdr:spPr bwMode="auto">
        <a:xfrm>
          <a:off x="3457575" y="2171700"/>
          <a:ext cx="1819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581025</xdr:colOff>
      <xdr:row>9</xdr:row>
      <xdr:rowOff>76200</xdr:rowOff>
    </xdr:from>
    <xdr:to>
      <xdr:col>6</xdr:col>
      <xdr:colOff>257175</xdr:colOff>
      <xdr:row>9</xdr:row>
      <xdr:rowOff>1447800</xdr:rowOff>
    </xdr:to>
    <xdr:pic>
      <xdr:nvPicPr>
        <xdr:cNvPr id="131192" name="18 Imagen"/>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35068" t="44801" r="40807" b="32236"/>
        <a:stretch>
          <a:fillRect/>
        </a:stretch>
      </xdr:blipFill>
      <xdr:spPr bwMode="auto">
        <a:xfrm>
          <a:off x="3009900" y="9867900"/>
          <a:ext cx="27717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ENTES%202017/00%20TABLA%20DE%20VARILLAS%20TIP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PUENTE"/>
      <sheetName val="TERRAPLEN"/>
      <sheetName val="varillas eje 1-1"/>
      <sheetName val="varillas eje 2"/>
      <sheetName val="varillas eje 3"/>
      <sheetName val="varillas eje 4"/>
      <sheetName val="varillas eje 5"/>
      <sheetName val="AASHTO VI CLARO 1-2"/>
      <sheetName val="AASHTO VI CLARO 2-3"/>
      <sheetName val="AASHTO VI CLARO 3-4"/>
      <sheetName val="AASHTO VI CLARO 4-5"/>
      <sheetName val="LOSAS Y DIAFRAGMAS EJES 1-2 "/>
      <sheetName val="LOSAS Y DIAFRAGMAS EJES 2-3"/>
      <sheetName val="LOSAS Y DIAFRAGMAS EJE 3-4"/>
      <sheetName val="LOSAS Y DIAFRAGMAS IZQ 4-5"/>
      <sheetName val="LISTA DE TODOS LOS PARAPETO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49.bin"/><Relationship Id="rId13" Type="http://schemas.openxmlformats.org/officeDocument/2006/relationships/oleObject" Target="../embeddings/oleObject52.bin"/><Relationship Id="rId3" Type="http://schemas.openxmlformats.org/officeDocument/2006/relationships/vmlDrawing" Target="../drawings/vmlDrawing6.vml"/><Relationship Id="rId7" Type="http://schemas.openxmlformats.org/officeDocument/2006/relationships/image" Target="../media/image18.emf"/><Relationship Id="rId12" Type="http://schemas.openxmlformats.org/officeDocument/2006/relationships/image" Target="../media/image20.emf"/><Relationship Id="rId2" Type="http://schemas.openxmlformats.org/officeDocument/2006/relationships/drawing" Target="../drawings/drawing10.xml"/><Relationship Id="rId16" Type="http://schemas.openxmlformats.org/officeDocument/2006/relationships/image" Target="../media/image22.emf"/><Relationship Id="rId1" Type="http://schemas.openxmlformats.org/officeDocument/2006/relationships/printerSettings" Target="../printerSettings/printerSettings12.bin"/><Relationship Id="rId6" Type="http://schemas.openxmlformats.org/officeDocument/2006/relationships/oleObject" Target="../embeddings/oleObject48.bin"/><Relationship Id="rId11" Type="http://schemas.openxmlformats.org/officeDocument/2006/relationships/oleObject" Target="../embeddings/oleObject51.bin"/><Relationship Id="rId5" Type="http://schemas.openxmlformats.org/officeDocument/2006/relationships/image" Target="../media/image2.emf"/><Relationship Id="rId15" Type="http://schemas.openxmlformats.org/officeDocument/2006/relationships/oleObject" Target="../embeddings/oleObject53.bin"/><Relationship Id="rId10" Type="http://schemas.openxmlformats.org/officeDocument/2006/relationships/oleObject" Target="../embeddings/oleObject50.bin"/><Relationship Id="rId4" Type="http://schemas.openxmlformats.org/officeDocument/2006/relationships/oleObject" Target="../embeddings/oleObject47.bin"/><Relationship Id="rId9" Type="http://schemas.openxmlformats.org/officeDocument/2006/relationships/image" Target="../media/image19.emf"/><Relationship Id="rId14" Type="http://schemas.openxmlformats.org/officeDocument/2006/relationships/image" Target="../media/image21.emf"/></Relationships>
</file>

<file path=xl/worksheets/_rels/sheet13.xml.rels><?xml version="1.0" encoding="UTF-8" standalone="yes"?>
<Relationships xmlns="http://schemas.openxmlformats.org/package/2006/relationships"><Relationship Id="rId8" Type="http://schemas.openxmlformats.org/officeDocument/2006/relationships/oleObject" Target="../embeddings/oleObject56.bin"/><Relationship Id="rId13" Type="http://schemas.openxmlformats.org/officeDocument/2006/relationships/image" Target="../media/image21.emf"/><Relationship Id="rId3" Type="http://schemas.openxmlformats.org/officeDocument/2006/relationships/vmlDrawing" Target="../drawings/vmlDrawing7.vml"/><Relationship Id="rId7" Type="http://schemas.openxmlformats.org/officeDocument/2006/relationships/image" Target="../media/image18.emf"/><Relationship Id="rId12" Type="http://schemas.openxmlformats.org/officeDocument/2006/relationships/oleObject" Target="../embeddings/oleObject58.bin"/><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oleObject" Target="../embeddings/oleObject55.bin"/><Relationship Id="rId11" Type="http://schemas.openxmlformats.org/officeDocument/2006/relationships/image" Target="../media/image20.emf"/><Relationship Id="rId5" Type="http://schemas.openxmlformats.org/officeDocument/2006/relationships/image" Target="../media/image2.emf"/><Relationship Id="rId15" Type="http://schemas.openxmlformats.org/officeDocument/2006/relationships/image" Target="../media/image22.emf"/><Relationship Id="rId10" Type="http://schemas.openxmlformats.org/officeDocument/2006/relationships/oleObject" Target="../embeddings/oleObject57.bin"/><Relationship Id="rId4" Type="http://schemas.openxmlformats.org/officeDocument/2006/relationships/oleObject" Target="../embeddings/oleObject54.bin"/><Relationship Id="rId9" Type="http://schemas.openxmlformats.org/officeDocument/2006/relationships/image" Target="../media/image19.emf"/><Relationship Id="rId14" Type="http://schemas.openxmlformats.org/officeDocument/2006/relationships/oleObject" Target="../embeddings/oleObject59.bin"/></Relationships>
</file>

<file path=xl/worksheets/_rels/sheet14.xml.rels><?xml version="1.0" encoding="UTF-8" standalone="yes"?>
<Relationships xmlns="http://schemas.openxmlformats.org/package/2006/relationships"><Relationship Id="rId8" Type="http://schemas.openxmlformats.org/officeDocument/2006/relationships/oleObject" Target="../embeddings/oleObject62.bin"/><Relationship Id="rId13" Type="http://schemas.openxmlformats.org/officeDocument/2006/relationships/image" Target="../media/image21.emf"/><Relationship Id="rId3" Type="http://schemas.openxmlformats.org/officeDocument/2006/relationships/vmlDrawing" Target="../drawings/vmlDrawing8.vml"/><Relationship Id="rId7" Type="http://schemas.openxmlformats.org/officeDocument/2006/relationships/image" Target="../media/image18.emf"/><Relationship Id="rId12" Type="http://schemas.openxmlformats.org/officeDocument/2006/relationships/oleObject" Target="../embeddings/oleObject64.bin"/><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oleObject" Target="../embeddings/oleObject61.bin"/><Relationship Id="rId11" Type="http://schemas.openxmlformats.org/officeDocument/2006/relationships/image" Target="../media/image20.emf"/><Relationship Id="rId5" Type="http://schemas.openxmlformats.org/officeDocument/2006/relationships/image" Target="../media/image2.emf"/><Relationship Id="rId15" Type="http://schemas.openxmlformats.org/officeDocument/2006/relationships/image" Target="../media/image22.emf"/><Relationship Id="rId10" Type="http://schemas.openxmlformats.org/officeDocument/2006/relationships/oleObject" Target="../embeddings/oleObject63.bin"/><Relationship Id="rId4" Type="http://schemas.openxmlformats.org/officeDocument/2006/relationships/oleObject" Target="../embeddings/oleObject60.bin"/><Relationship Id="rId9" Type="http://schemas.openxmlformats.org/officeDocument/2006/relationships/image" Target="../media/image19.emf"/><Relationship Id="rId14" Type="http://schemas.openxmlformats.org/officeDocument/2006/relationships/oleObject" Target="../embeddings/oleObject65.bin"/></Relationships>
</file>

<file path=xl/worksheets/_rels/sheet15.xml.rels><?xml version="1.0" encoding="UTF-8" standalone="yes"?>
<Relationships xmlns="http://schemas.openxmlformats.org/package/2006/relationships"><Relationship Id="rId8" Type="http://schemas.openxmlformats.org/officeDocument/2006/relationships/oleObject" Target="../embeddings/oleObject68.bin"/><Relationship Id="rId13" Type="http://schemas.openxmlformats.org/officeDocument/2006/relationships/image" Target="../media/image21.emf"/><Relationship Id="rId3" Type="http://schemas.openxmlformats.org/officeDocument/2006/relationships/vmlDrawing" Target="../drawings/vmlDrawing9.vml"/><Relationship Id="rId7" Type="http://schemas.openxmlformats.org/officeDocument/2006/relationships/image" Target="../media/image18.emf"/><Relationship Id="rId12" Type="http://schemas.openxmlformats.org/officeDocument/2006/relationships/oleObject" Target="../embeddings/oleObject70.bin"/><Relationship Id="rId17" Type="http://schemas.openxmlformats.org/officeDocument/2006/relationships/oleObject" Target="../embeddings/oleObject73.bin"/><Relationship Id="rId2" Type="http://schemas.openxmlformats.org/officeDocument/2006/relationships/drawing" Target="../drawings/drawing13.xml"/><Relationship Id="rId16" Type="http://schemas.openxmlformats.org/officeDocument/2006/relationships/oleObject" Target="../embeddings/oleObject72.bin"/><Relationship Id="rId1" Type="http://schemas.openxmlformats.org/officeDocument/2006/relationships/printerSettings" Target="../printerSettings/printerSettings15.bin"/><Relationship Id="rId6" Type="http://schemas.openxmlformats.org/officeDocument/2006/relationships/oleObject" Target="../embeddings/oleObject67.bin"/><Relationship Id="rId11" Type="http://schemas.openxmlformats.org/officeDocument/2006/relationships/image" Target="../media/image20.emf"/><Relationship Id="rId5" Type="http://schemas.openxmlformats.org/officeDocument/2006/relationships/image" Target="../media/image2.emf"/><Relationship Id="rId15" Type="http://schemas.openxmlformats.org/officeDocument/2006/relationships/image" Target="../media/image22.emf"/><Relationship Id="rId10" Type="http://schemas.openxmlformats.org/officeDocument/2006/relationships/oleObject" Target="../embeddings/oleObject69.bin"/><Relationship Id="rId4" Type="http://schemas.openxmlformats.org/officeDocument/2006/relationships/oleObject" Target="../embeddings/oleObject66.bin"/><Relationship Id="rId9" Type="http://schemas.openxmlformats.org/officeDocument/2006/relationships/image" Target="../media/image19.emf"/><Relationship Id="rId14" Type="http://schemas.openxmlformats.org/officeDocument/2006/relationships/oleObject" Target="../embeddings/oleObject7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oleObject" Target="../embeddings/oleObject7.bin"/><Relationship Id="rId18"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6.bin"/><Relationship Id="rId17" Type="http://schemas.openxmlformats.org/officeDocument/2006/relationships/oleObject" Target="../embeddings/oleObject11.bin"/><Relationship Id="rId2" Type="http://schemas.openxmlformats.org/officeDocument/2006/relationships/drawing" Target="../drawings/drawing1.xml"/><Relationship Id="rId16" Type="http://schemas.openxmlformats.org/officeDocument/2006/relationships/oleObject" Target="../embeddings/oleObject10.bin"/><Relationship Id="rId1" Type="http://schemas.openxmlformats.org/officeDocument/2006/relationships/printerSettings" Target="../printerSettings/printerSettings3.bin"/><Relationship Id="rId6" Type="http://schemas.openxmlformats.org/officeDocument/2006/relationships/oleObject" Target="../embeddings/oleObject2.bin"/><Relationship Id="rId11" Type="http://schemas.openxmlformats.org/officeDocument/2006/relationships/oleObject" Target="../embeddings/oleObject5.bin"/><Relationship Id="rId5" Type="http://schemas.openxmlformats.org/officeDocument/2006/relationships/image" Target="../media/image1.emf"/><Relationship Id="rId15" Type="http://schemas.openxmlformats.org/officeDocument/2006/relationships/oleObject" Target="../embeddings/oleObject9.bin"/><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8.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4.bin"/><Relationship Id="rId13" Type="http://schemas.openxmlformats.org/officeDocument/2006/relationships/oleObject" Target="../embeddings/oleObject18.bin"/><Relationship Id="rId3" Type="http://schemas.openxmlformats.org/officeDocument/2006/relationships/vmlDrawing" Target="../drawings/vmlDrawing2.vml"/><Relationship Id="rId7" Type="http://schemas.openxmlformats.org/officeDocument/2006/relationships/image" Target="../media/image1.emf"/><Relationship Id="rId12" Type="http://schemas.openxmlformats.org/officeDocument/2006/relationships/oleObject" Target="../embeddings/oleObject17.bin"/><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oleObject" Target="../embeddings/oleObject13.bin"/><Relationship Id="rId11" Type="http://schemas.openxmlformats.org/officeDocument/2006/relationships/oleObject" Target="../embeddings/oleObject16.bin"/><Relationship Id="rId5" Type="http://schemas.openxmlformats.org/officeDocument/2006/relationships/image" Target="../media/image2.emf"/><Relationship Id="rId10" Type="http://schemas.openxmlformats.org/officeDocument/2006/relationships/image" Target="../media/image3.emf"/><Relationship Id="rId4" Type="http://schemas.openxmlformats.org/officeDocument/2006/relationships/oleObject" Target="../embeddings/oleObject12.bin"/><Relationship Id="rId9" Type="http://schemas.openxmlformats.org/officeDocument/2006/relationships/oleObject" Target="../embeddings/oleObject15.bin"/><Relationship Id="rId14" Type="http://schemas.openxmlformats.org/officeDocument/2006/relationships/oleObject" Target="../embeddings/oleObject19.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22.bin"/><Relationship Id="rId13" Type="http://schemas.openxmlformats.org/officeDocument/2006/relationships/oleObject" Target="../embeddings/oleObject26.bin"/><Relationship Id="rId3" Type="http://schemas.openxmlformats.org/officeDocument/2006/relationships/vmlDrawing" Target="../drawings/vmlDrawing3.vml"/><Relationship Id="rId7" Type="http://schemas.openxmlformats.org/officeDocument/2006/relationships/image" Target="../media/image1.emf"/><Relationship Id="rId12" Type="http://schemas.openxmlformats.org/officeDocument/2006/relationships/oleObject" Target="../embeddings/oleObject25.bin"/><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21.bin"/><Relationship Id="rId11" Type="http://schemas.openxmlformats.org/officeDocument/2006/relationships/oleObject" Target="../embeddings/oleObject24.bin"/><Relationship Id="rId5" Type="http://schemas.openxmlformats.org/officeDocument/2006/relationships/image" Target="../media/image2.emf"/><Relationship Id="rId10" Type="http://schemas.openxmlformats.org/officeDocument/2006/relationships/image" Target="../media/image3.emf"/><Relationship Id="rId4" Type="http://schemas.openxmlformats.org/officeDocument/2006/relationships/oleObject" Target="../embeddings/oleObject20.bin"/><Relationship Id="rId9" Type="http://schemas.openxmlformats.org/officeDocument/2006/relationships/oleObject" Target="../embeddings/oleObject23.bin"/><Relationship Id="rId14" Type="http://schemas.openxmlformats.org/officeDocument/2006/relationships/oleObject" Target="../embeddings/oleObject27.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30.bin"/><Relationship Id="rId13" Type="http://schemas.openxmlformats.org/officeDocument/2006/relationships/oleObject" Target="../embeddings/oleObject34.bin"/><Relationship Id="rId3" Type="http://schemas.openxmlformats.org/officeDocument/2006/relationships/vmlDrawing" Target="../drawings/vmlDrawing4.vml"/><Relationship Id="rId7" Type="http://schemas.openxmlformats.org/officeDocument/2006/relationships/image" Target="../media/image1.emf"/><Relationship Id="rId12" Type="http://schemas.openxmlformats.org/officeDocument/2006/relationships/oleObject" Target="../embeddings/oleObject33.bin"/><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oleObject" Target="../embeddings/oleObject29.bin"/><Relationship Id="rId11" Type="http://schemas.openxmlformats.org/officeDocument/2006/relationships/oleObject" Target="../embeddings/oleObject32.bin"/><Relationship Id="rId5" Type="http://schemas.openxmlformats.org/officeDocument/2006/relationships/image" Target="../media/image2.emf"/><Relationship Id="rId10" Type="http://schemas.openxmlformats.org/officeDocument/2006/relationships/image" Target="../media/image3.emf"/><Relationship Id="rId4" Type="http://schemas.openxmlformats.org/officeDocument/2006/relationships/oleObject" Target="../embeddings/oleObject28.bin"/><Relationship Id="rId9" Type="http://schemas.openxmlformats.org/officeDocument/2006/relationships/oleObject" Target="../embeddings/oleObject31.bin"/><Relationship Id="rId14" Type="http://schemas.openxmlformats.org/officeDocument/2006/relationships/oleObject" Target="../embeddings/oleObject35.bin"/></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38.bin"/><Relationship Id="rId13" Type="http://schemas.openxmlformats.org/officeDocument/2006/relationships/oleObject" Target="../embeddings/oleObject42.bin"/><Relationship Id="rId18" Type="http://schemas.openxmlformats.org/officeDocument/2006/relationships/image" Target="../media/image4.emf"/><Relationship Id="rId3" Type="http://schemas.openxmlformats.org/officeDocument/2006/relationships/vmlDrawing" Target="../drawings/vmlDrawing5.vml"/><Relationship Id="rId7" Type="http://schemas.openxmlformats.org/officeDocument/2006/relationships/image" Target="../media/image1.emf"/><Relationship Id="rId12" Type="http://schemas.openxmlformats.org/officeDocument/2006/relationships/oleObject" Target="../embeddings/oleObject41.bin"/><Relationship Id="rId17" Type="http://schemas.openxmlformats.org/officeDocument/2006/relationships/oleObject" Target="../embeddings/oleObject46.bin"/><Relationship Id="rId2" Type="http://schemas.openxmlformats.org/officeDocument/2006/relationships/drawing" Target="../drawings/drawing5.xml"/><Relationship Id="rId16" Type="http://schemas.openxmlformats.org/officeDocument/2006/relationships/oleObject" Target="../embeddings/oleObject45.bin"/><Relationship Id="rId1" Type="http://schemas.openxmlformats.org/officeDocument/2006/relationships/printerSettings" Target="../printerSettings/printerSettings7.bin"/><Relationship Id="rId6" Type="http://schemas.openxmlformats.org/officeDocument/2006/relationships/oleObject" Target="../embeddings/oleObject37.bin"/><Relationship Id="rId11" Type="http://schemas.openxmlformats.org/officeDocument/2006/relationships/oleObject" Target="../embeddings/oleObject40.bin"/><Relationship Id="rId5" Type="http://schemas.openxmlformats.org/officeDocument/2006/relationships/image" Target="../media/image2.emf"/><Relationship Id="rId15" Type="http://schemas.openxmlformats.org/officeDocument/2006/relationships/oleObject" Target="../embeddings/oleObject44.bin"/><Relationship Id="rId10" Type="http://schemas.openxmlformats.org/officeDocument/2006/relationships/image" Target="../media/image3.emf"/><Relationship Id="rId4" Type="http://schemas.openxmlformats.org/officeDocument/2006/relationships/oleObject" Target="../embeddings/oleObject36.bin"/><Relationship Id="rId9" Type="http://schemas.openxmlformats.org/officeDocument/2006/relationships/oleObject" Target="../embeddings/oleObject39.bin"/><Relationship Id="rId14" Type="http://schemas.openxmlformats.org/officeDocument/2006/relationships/oleObject" Target="../embeddings/oleObject4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82"/>
  <sheetViews>
    <sheetView showGridLines="0" tabSelected="1" topLeftCell="A45" zoomScale="80" zoomScaleNormal="80" workbookViewId="0">
      <selection activeCell="D68" sqref="D68"/>
    </sheetView>
  </sheetViews>
  <sheetFormatPr baseColWidth="10" defaultRowHeight="15" x14ac:dyDescent="0.25"/>
  <cols>
    <col min="1" max="1" width="51.28515625" style="26" customWidth="1"/>
    <col min="2" max="2" width="8.7109375" style="26" bestFit="1" customWidth="1"/>
    <col min="3" max="3" width="15.7109375" style="27" customWidth="1"/>
    <col min="4" max="4" width="11.42578125" style="25"/>
    <col min="5" max="5" width="11.42578125" style="26"/>
    <col min="6" max="6" width="59.42578125" style="26" customWidth="1"/>
    <col min="7" max="7" width="11.7109375" style="26" customWidth="1"/>
    <col min="8" max="8" width="9.140625" style="26" customWidth="1"/>
    <col min="9" max="16384" width="11.42578125" style="26"/>
  </cols>
  <sheetData>
    <row r="1" spans="1:11" x14ac:dyDescent="0.25">
      <c r="A1" s="919" t="s">
        <v>49</v>
      </c>
      <c r="B1" s="919"/>
      <c r="C1" s="919"/>
    </row>
    <row r="3" spans="1:11" x14ac:dyDescent="0.25">
      <c r="A3" s="25" t="s">
        <v>50</v>
      </c>
      <c r="B3" s="807" t="s">
        <v>51</v>
      </c>
      <c r="C3" s="27" t="s">
        <v>52</v>
      </c>
      <c r="H3" s="26" t="s">
        <v>180</v>
      </c>
    </row>
    <row r="4" spans="1:11" x14ac:dyDescent="0.25">
      <c r="A4" s="28" t="s">
        <v>53</v>
      </c>
      <c r="B4" s="29" t="s">
        <v>30</v>
      </c>
      <c r="C4" s="62">
        <f>H4*4</f>
        <v>288</v>
      </c>
      <c r="F4" s="793" t="s">
        <v>436</v>
      </c>
      <c r="G4" s="794" t="s">
        <v>417</v>
      </c>
      <c r="H4" s="795">
        <f>VLOOKUP($G$4,'LISTA DE TODOS LOS PARAPETOS'!$A$3:$O$9,7,FALSE)</f>
        <v>72</v>
      </c>
    </row>
    <row r="5" spans="1:11" ht="15" customHeight="1" x14ac:dyDescent="0.25">
      <c r="A5" s="28" t="s">
        <v>54</v>
      </c>
      <c r="B5" s="29" t="s">
        <v>29</v>
      </c>
      <c r="C5" s="62">
        <f>H5*4</f>
        <v>1.6</v>
      </c>
      <c r="D5" s="25" t="s">
        <v>43</v>
      </c>
      <c r="F5" s="796" t="s">
        <v>437</v>
      </c>
      <c r="G5" s="797" t="str">
        <f>G4</f>
        <v>T 34.3.1 - 1</v>
      </c>
      <c r="H5" s="798">
        <f>VLOOKUP($G$4,'LISTA DE TODOS LOS PARAPETOS'!$A$3:$O$9,8,FALSE)</f>
        <v>0.4</v>
      </c>
    </row>
    <row r="6" spans="1:11" x14ac:dyDescent="0.25">
      <c r="B6" s="30"/>
      <c r="C6" s="31"/>
    </row>
    <row r="7" spans="1:11" x14ac:dyDescent="0.25">
      <c r="A7" s="25" t="s">
        <v>55</v>
      </c>
      <c r="B7" s="808" t="s">
        <v>51</v>
      </c>
      <c r="C7" s="31" t="s">
        <v>52</v>
      </c>
    </row>
    <row r="8" spans="1:11" x14ac:dyDescent="0.25">
      <c r="A8" s="28" t="s">
        <v>92</v>
      </c>
      <c r="B8" s="29" t="s">
        <v>97</v>
      </c>
      <c r="C8" s="64">
        <f>H10</f>
        <v>134</v>
      </c>
      <c r="D8" s="25" t="s">
        <v>43</v>
      </c>
      <c r="H8" s="26" t="s">
        <v>135</v>
      </c>
    </row>
    <row r="9" spans="1:11" x14ac:dyDescent="0.25">
      <c r="A9" s="28" t="s">
        <v>56</v>
      </c>
      <c r="B9" s="29" t="s">
        <v>30</v>
      </c>
      <c r="C9" s="62">
        <f>C8*H9</f>
        <v>2278</v>
      </c>
      <c r="D9" s="25" t="s">
        <v>43</v>
      </c>
      <c r="F9" s="796" t="s">
        <v>438</v>
      </c>
      <c r="G9" s="799" t="str">
        <f>G4</f>
        <v>T 34.3.1 - 1</v>
      </c>
      <c r="H9" s="800">
        <f>VLOOKUP($G$4,'LISTA DE TODOS LOS PARAPETOS'!$A$3:$O$9,14,FALSE)</f>
        <v>17</v>
      </c>
    </row>
    <row r="10" spans="1:11" x14ac:dyDescent="0.25">
      <c r="A10" s="28" t="s">
        <v>57</v>
      </c>
      <c r="B10" s="29" t="s">
        <v>45</v>
      </c>
      <c r="C10" s="64">
        <f>C8*4</f>
        <v>536</v>
      </c>
      <c r="D10" s="25" t="s">
        <v>43</v>
      </c>
      <c r="F10" s="796" t="s">
        <v>248</v>
      </c>
      <c r="G10" s="799" t="str">
        <f>G4</f>
        <v>T 34.3.1 - 1</v>
      </c>
      <c r="H10" s="794">
        <f>C13/2</f>
        <v>134</v>
      </c>
      <c r="I10" s="25"/>
    </row>
    <row r="11" spans="1:11" x14ac:dyDescent="0.25">
      <c r="B11" s="30"/>
      <c r="C11" s="31"/>
    </row>
    <row r="12" spans="1:11" ht="28.5" x14ac:dyDescent="0.25">
      <c r="A12" s="25" t="s">
        <v>58</v>
      </c>
      <c r="B12" s="808" t="s">
        <v>51</v>
      </c>
      <c r="C12" s="31" t="s">
        <v>52</v>
      </c>
      <c r="F12" s="801"/>
      <c r="H12" s="30" t="s">
        <v>135</v>
      </c>
      <c r="I12" s="30" t="s">
        <v>439</v>
      </c>
      <c r="J12" s="30" t="s">
        <v>440</v>
      </c>
      <c r="K12" s="30" t="s">
        <v>448</v>
      </c>
    </row>
    <row r="13" spans="1:11" ht="15" customHeight="1" x14ac:dyDescent="0.25">
      <c r="A13" s="28" t="s">
        <v>93</v>
      </c>
      <c r="B13" s="29" t="s">
        <v>280</v>
      </c>
      <c r="C13" s="64">
        <f>H14*2</f>
        <v>268</v>
      </c>
      <c r="D13" s="25" t="s">
        <v>43</v>
      </c>
      <c r="F13" s="802" t="str">
        <f>CONCATENATE(VLOOKUP($G$4,'LISTA DE TODOS LOS PARAPETOS'!$A$3:$O$9,2,FALSE),", ",(VLOOKUP($G$4,'LISTA DE TODOS LOS PARAPETOS'!$A$3:$O$9,3,FALSE)))</f>
        <v>GUARNICION TIPO II, GUARNICION SOBRE LOSA</v>
      </c>
      <c r="G13" s="799" t="str">
        <f>G4</f>
        <v>T 34.3.1 - 1</v>
      </c>
      <c r="H13" s="800">
        <f>VLOOKUP($G$4,'LISTA DE TODOS LOS PARAPETOS'!$A$3:$O$9,4,FALSE)</f>
        <v>33</v>
      </c>
      <c r="I13" s="800">
        <f>VLOOKUP($G$4,'LISTA DE TODOS LOS PARAPETOS'!$A$3:$O$9,5,FALSE)</f>
        <v>0.14000000000000001</v>
      </c>
      <c r="J13" s="800">
        <f>VLOOKUP($G$4,'LISTA DE TODOS LOS PARAPETOS'!$A$3:$O$9,6,FALSE)</f>
        <v>0</v>
      </c>
      <c r="K13" s="26">
        <v>100</v>
      </c>
    </row>
    <row r="14" spans="1:11" ht="15" customHeight="1" x14ac:dyDescent="0.25">
      <c r="A14" s="28" t="s">
        <v>59</v>
      </c>
      <c r="B14" s="29" t="s">
        <v>30</v>
      </c>
      <c r="C14" s="64">
        <f>C13*H13</f>
        <v>8844</v>
      </c>
      <c r="D14" s="25" t="s">
        <v>43</v>
      </c>
      <c r="F14" s="803" t="s">
        <v>459</v>
      </c>
      <c r="H14" s="804">
        <v>134</v>
      </c>
      <c r="I14" s="25"/>
    </row>
    <row r="15" spans="1:11" ht="15" customHeight="1" x14ac:dyDescent="0.25">
      <c r="A15" s="28" t="s">
        <v>60</v>
      </c>
      <c r="B15" s="29" t="s">
        <v>29</v>
      </c>
      <c r="C15" s="64">
        <f>C13*I13</f>
        <v>37.520000000000003</v>
      </c>
      <c r="D15" s="25" t="s">
        <v>43</v>
      </c>
    </row>
    <row r="16" spans="1:11" ht="15" hidden="1" customHeight="1" x14ac:dyDescent="0.25">
      <c r="A16" s="28" t="s">
        <v>268</v>
      </c>
      <c r="B16" s="29" t="s">
        <v>29</v>
      </c>
      <c r="C16" s="64">
        <f>C13*J13</f>
        <v>0</v>
      </c>
      <c r="D16" s="25" t="s">
        <v>43</v>
      </c>
    </row>
    <row r="17" spans="1:10" ht="15" customHeight="1" x14ac:dyDescent="0.25">
      <c r="A17" s="28" t="s">
        <v>94</v>
      </c>
      <c r="B17" s="29" t="s">
        <v>30</v>
      </c>
      <c r="C17" s="64">
        <f>C13*H17</f>
        <v>3028.4</v>
      </c>
      <c r="D17" s="25" t="s">
        <v>43</v>
      </c>
      <c r="F17" s="28" t="s">
        <v>136</v>
      </c>
      <c r="H17" s="805">
        <f>VLOOKUP($G$4,'LISTA DE TODOS LOS PARAPETOS'!$A$3:$O$9,10,FALSE)</f>
        <v>11.3</v>
      </c>
      <c r="I17" s="28" t="s">
        <v>30</v>
      </c>
    </row>
    <row r="18" spans="1:10" ht="15.75" customHeight="1" x14ac:dyDescent="0.25">
      <c r="A18" s="28" t="s">
        <v>95</v>
      </c>
      <c r="B18" s="29" t="s">
        <v>30</v>
      </c>
      <c r="C18" s="64">
        <f>(ROUND((H14/10),0)-1)*H18*2</f>
        <v>72</v>
      </c>
      <c r="D18" s="25" t="s">
        <v>43</v>
      </c>
      <c r="F18" s="28" t="s">
        <v>138</v>
      </c>
      <c r="H18" s="805">
        <f>VLOOKUP($G$4,'LISTA DE TODOS LOS PARAPETOS'!$A$3:$O$9,12,FALSE)</f>
        <v>3</v>
      </c>
      <c r="I18" s="28" t="s">
        <v>30</v>
      </c>
    </row>
    <row r="19" spans="1:10" ht="15.75" hidden="1" customHeight="1" x14ac:dyDescent="0.25">
      <c r="A19" s="28" t="s">
        <v>256</v>
      </c>
      <c r="B19" s="29" t="s">
        <v>30</v>
      </c>
      <c r="C19" s="64">
        <f>C13*H19</f>
        <v>0</v>
      </c>
      <c r="D19" s="25" t="s">
        <v>43</v>
      </c>
      <c r="F19" s="28" t="s">
        <v>137</v>
      </c>
      <c r="H19" s="805">
        <f>VLOOKUP($G$4,'LISTA DE TODOS LOS PARAPETOS'!$A$3:$O$9,11,FALSE)</f>
        <v>0</v>
      </c>
      <c r="I19" s="28" t="s">
        <v>30</v>
      </c>
    </row>
    <row r="20" spans="1:10" ht="15.75" hidden="1" customHeight="1" x14ac:dyDescent="0.25">
      <c r="A20" s="28" t="s">
        <v>257</v>
      </c>
      <c r="B20" s="29" t="s">
        <v>30</v>
      </c>
      <c r="C20" s="64">
        <f>(ROUND((H14/10),0)-1)*H20*2</f>
        <v>0</v>
      </c>
      <c r="D20" s="25" t="s">
        <v>43</v>
      </c>
      <c r="F20" s="38" t="s">
        <v>139</v>
      </c>
      <c r="H20" s="805">
        <f>VLOOKUP($G$4,'LISTA DE TODOS LOS PARAPETOS'!$A$3:$O$9,13,FALSE)</f>
        <v>0</v>
      </c>
      <c r="I20" s="28" t="s">
        <v>30</v>
      </c>
    </row>
    <row r="21" spans="1:10" ht="15.75" customHeight="1" x14ac:dyDescent="0.25">
      <c r="A21" s="28" t="s">
        <v>269</v>
      </c>
      <c r="B21" s="29" t="s">
        <v>90</v>
      </c>
      <c r="C21" s="64">
        <f>C13*4</f>
        <v>1072</v>
      </c>
      <c r="D21" s="25" t="s">
        <v>43</v>
      </c>
    </row>
    <row r="22" spans="1:10" ht="15.75" customHeight="1" x14ac:dyDescent="0.25">
      <c r="A22" s="32"/>
      <c r="B22" s="33"/>
      <c r="C22" s="174"/>
      <c r="F22" s="28" t="s">
        <v>181</v>
      </c>
      <c r="H22" s="806">
        <v>0.35</v>
      </c>
      <c r="I22" s="28" t="s">
        <v>90</v>
      </c>
      <c r="J22" s="823"/>
    </row>
    <row r="23" spans="1:10" ht="30" x14ac:dyDescent="0.2">
      <c r="A23" s="35" t="s">
        <v>61</v>
      </c>
      <c r="B23" s="809" t="s">
        <v>51</v>
      </c>
      <c r="C23" s="49" t="s">
        <v>52</v>
      </c>
      <c r="F23" s="823"/>
      <c r="G23" s="823"/>
      <c r="H23" s="823"/>
      <c r="I23" s="823"/>
      <c r="J23" s="823"/>
    </row>
    <row r="24" spans="1:10" x14ac:dyDescent="0.25">
      <c r="A24" s="28" t="s">
        <v>62</v>
      </c>
      <c r="B24" s="29" t="s">
        <v>30</v>
      </c>
      <c r="C24" s="64">
        <f>'LOSAS Y DIAFRAGMAS EJES 1-2 '!K24+'LOSAS Y DIAFRAGMAS EJES 2-3'!K24+'LOSAS Y DIAFRAGMAS EJE 3-4'!K24+'LOSAS Y DIAFRAGMAS IZQ 4-5'!$K$24</f>
        <v>82554.526060329998</v>
      </c>
      <c r="D24" s="25" t="s">
        <v>43</v>
      </c>
    </row>
    <row r="25" spans="1:10" x14ac:dyDescent="0.25">
      <c r="A25" s="36" t="s">
        <v>84</v>
      </c>
      <c r="B25" s="37" t="s">
        <v>30</v>
      </c>
      <c r="C25" s="65">
        <f>'LOSAS Y DIAFRAGMAS EJES 1-2 '!K27+'LOSAS Y DIAFRAGMAS EJES 2-3'!K27+'LOSAS Y DIAFRAGMAS EJE 3-4'!K27+'LOSAS Y DIAFRAGMAS IZQ 4-5'!$K$27</f>
        <v>2899.8054882000001</v>
      </c>
      <c r="D25" s="25" t="s">
        <v>43</v>
      </c>
    </row>
    <row r="26" spans="1:10" x14ac:dyDescent="0.25">
      <c r="A26" s="28" t="s">
        <v>299</v>
      </c>
      <c r="B26" s="29" t="s">
        <v>29</v>
      </c>
      <c r="C26" s="64">
        <f>'LOSAS Y DIAFRAGMAS EJES 1-2 '!K26+'LOSAS Y DIAFRAGMAS EJES 2-3'!K26+'LOSAS Y DIAFRAGMAS EJE 3-4'!K26+'LOSAS Y DIAFRAGMAS IZQ 4-5'!$K$26</f>
        <v>628.96165200000007</v>
      </c>
      <c r="D26" s="25" t="s">
        <v>43</v>
      </c>
    </row>
    <row r="27" spans="1:10" x14ac:dyDescent="0.25">
      <c r="A27" s="28" t="s">
        <v>63</v>
      </c>
      <c r="B27" s="29" t="s">
        <v>30</v>
      </c>
      <c r="C27" s="64">
        <f>'LOSAS Y DIAFRAGMAS EJES 1-2 '!K28+'LOSAS Y DIAFRAGMAS EJES 2-3'!K28+'LOSAS Y DIAFRAGMAS EJE 3-4'!K28+'LOSAS Y DIAFRAGMAS IZQ 4-5'!$K$28</f>
        <v>1169.6000000000001</v>
      </c>
      <c r="D27" s="25" t="s">
        <v>43</v>
      </c>
    </row>
    <row r="28" spans="1:10" x14ac:dyDescent="0.25">
      <c r="A28" s="36" t="s">
        <v>266</v>
      </c>
      <c r="B28" s="37" t="s">
        <v>45</v>
      </c>
      <c r="C28" s="64">
        <f>'LOSAS Y DIAFRAGMAS EJES 1-2 '!K30+'LOSAS Y DIAFRAGMAS EJES 2-3'!K30+'LOSAS Y DIAFRAGMAS EJE 3-4'!K30+'LOSAS Y DIAFRAGMAS IZQ 4-5'!$K$30</f>
        <v>544</v>
      </c>
      <c r="D28" s="25" t="s">
        <v>43</v>
      </c>
    </row>
    <row r="29" spans="1:10" x14ac:dyDescent="0.25">
      <c r="A29" s="28" t="s">
        <v>64</v>
      </c>
      <c r="B29" s="29" t="s">
        <v>29</v>
      </c>
      <c r="C29" s="64">
        <f>'LOSAS Y DIAFRAGMAS EJES 1-2 '!K29+'LOSAS Y DIAFRAGMAS EJES 2-3'!K29+'LOSAS Y DIAFRAGMAS EJE 3-4'!K29+'LOSAS Y DIAFRAGMAS IZQ 4-5'!$K$29</f>
        <v>111.731336</v>
      </c>
      <c r="D29" s="25" t="s">
        <v>43</v>
      </c>
    </row>
    <row r="30" spans="1:10" x14ac:dyDescent="0.25">
      <c r="A30" s="32"/>
      <c r="B30" s="33"/>
      <c r="C30" s="174"/>
    </row>
    <row r="31" spans="1:10" ht="30" x14ac:dyDescent="0.25">
      <c r="A31" s="25" t="s">
        <v>300</v>
      </c>
      <c r="B31" s="808" t="s">
        <v>51</v>
      </c>
      <c r="C31" s="31" t="s">
        <v>52</v>
      </c>
    </row>
    <row r="32" spans="1:10" x14ac:dyDescent="0.25">
      <c r="A32" s="38" t="s">
        <v>65</v>
      </c>
      <c r="B32" s="39"/>
      <c r="C32" s="63"/>
    </row>
    <row r="33" spans="1:4" x14ac:dyDescent="0.25">
      <c r="A33" s="40" t="s">
        <v>91</v>
      </c>
      <c r="B33" s="41" t="s">
        <v>30</v>
      </c>
      <c r="C33" s="66">
        <f>'AASHTO VI CLARO 1-2'!K13+'AASHTO VI CLARO 3-4'!K13+'AASHTO VI CLARO 4-5'!K13</f>
        <v>27993.874644000003</v>
      </c>
      <c r="D33" s="25" t="s">
        <v>43</v>
      </c>
    </row>
    <row r="34" spans="1:4" x14ac:dyDescent="0.25">
      <c r="A34" s="42" t="s">
        <v>66</v>
      </c>
      <c r="B34" s="43" t="s">
        <v>30</v>
      </c>
      <c r="C34" s="67">
        <f>'AASHTO VI CLARO 1-2'!K12+'AASHTO VI CLARO 3-4'!K12+'AASHTO VI CLARO 4-5'!K12</f>
        <v>107512.55467200001</v>
      </c>
      <c r="D34" s="25" t="s">
        <v>43</v>
      </c>
    </row>
    <row r="35" spans="1:4" ht="17.25" customHeight="1" x14ac:dyDescent="0.25">
      <c r="A35" s="917" t="s">
        <v>118</v>
      </c>
      <c r="B35" s="44"/>
      <c r="C35" s="68"/>
      <c r="D35" s="25" t="s">
        <v>43</v>
      </c>
    </row>
    <row r="36" spans="1:4" x14ac:dyDescent="0.25">
      <c r="A36" s="918"/>
      <c r="B36" s="45" t="s">
        <v>30</v>
      </c>
      <c r="C36" s="69">
        <f>'AASHTO VI CLARO 1-2'!K15+'AASHTO VI CLARO 3-4'!K15+'AASHTO VI CLARO 4-5'!K15</f>
        <v>1507.806</v>
      </c>
    </row>
    <row r="37" spans="1:4" x14ac:dyDescent="0.25">
      <c r="A37" s="46" t="s">
        <v>67</v>
      </c>
      <c r="B37" s="41" t="s">
        <v>29</v>
      </c>
      <c r="C37" s="147">
        <f>'AASHTO VI CLARO 1-2'!K14+'AASHTO VI CLARO 3-4'!K14+'AASHTO VI CLARO 4-5'!K14</f>
        <v>640.76588029999994</v>
      </c>
      <c r="D37" s="25" t="s">
        <v>43</v>
      </c>
    </row>
    <row r="38" spans="1:4" x14ac:dyDescent="0.25">
      <c r="A38" s="32"/>
      <c r="B38" s="33"/>
      <c r="C38" s="175"/>
    </row>
    <row r="39" spans="1:4" ht="30" x14ac:dyDescent="0.25">
      <c r="A39" s="25" t="s">
        <v>301</v>
      </c>
      <c r="B39" s="808" t="s">
        <v>51</v>
      </c>
      <c r="C39" s="31" t="s">
        <v>52</v>
      </c>
    </row>
    <row r="40" spans="1:4" x14ac:dyDescent="0.25">
      <c r="A40" s="38" t="s">
        <v>65</v>
      </c>
      <c r="B40" s="39"/>
      <c r="C40" s="63"/>
      <c r="D40" s="25" t="s">
        <v>43</v>
      </c>
    </row>
    <row r="41" spans="1:4" x14ac:dyDescent="0.25">
      <c r="A41" s="40" t="s">
        <v>91</v>
      </c>
      <c r="B41" s="41" t="s">
        <v>30</v>
      </c>
      <c r="C41" s="66">
        <f>'AASHTO VI CLARO 2-3'!K13</f>
        <v>20957.058216000001</v>
      </c>
      <c r="D41" s="25" t="s">
        <v>43</v>
      </c>
    </row>
    <row r="42" spans="1:4" x14ac:dyDescent="0.25">
      <c r="A42" s="42" t="s">
        <v>66</v>
      </c>
      <c r="B42" s="43" t="s">
        <v>30</v>
      </c>
      <c r="C42" s="67">
        <f>'AASHTO VI CLARO 2-3'!K12</f>
        <v>45295.235423999991</v>
      </c>
      <c r="D42" s="25" t="s">
        <v>43</v>
      </c>
    </row>
    <row r="43" spans="1:4" x14ac:dyDescent="0.25">
      <c r="A43" s="917" t="s">
        <v>118</v>
      </c>
      <c r="B43" s="44"/>
      <c r="C43" s="68"/>
    </row>
    <row r="44" spans="1:4" x14ac:dyDescent="0.25">
      <c r="A44" s="918"/>
      <c r="B44" s="45" t="s">
        <v>30</v>
      </c>
      <c r="C44" s="69">
        <f>'AASHTO VI CLARO 2-3'!K15</f>
        <v>502.60199999999998</v>
      </c>
      <c r="D44" s="25" t="s">
        <v>43</v>
      </c>
    </row>
    <row r="45" spans="1:4" x14ac:dyDescent="0.25">
      <c r="A45" s="46" t="s">
        <v>302</v>
      </c>
      <c r="B45" s="41" t="s">
        <v>29</v>
      </c>
      <c r="C45" s="147">
        <f>'AASHTO VI CLARO 2-3'!K14</f>
        <v>282.74362760000002</v>
      </c>
      <c r="D45" s="25" t="s">
        <v>43</v>
      </c>
    </row>
    <row r="46" spans="1:4" x14ac:dyDescent="0.25">
      <c r="A46" s="32"/>
      <c r="B46" s="33"/>
      <c r="C46" s="175"/>
    </row>
    <row r="47" spans="1:4" x14ac:dyDescent="0.25">
      <c r="A47" s="25" t="s">
        <v>96</v>
      </c>
      <c r="B47" s="920" t="s">
        <v>51</v>
      </c>
    </row>
    <row r="48" spans="1:4" x14ac:dyDescent="0.25">
      <c r="A48" s="25" t="s">
        <v>303</v>
      </c>
      <c r="B48" s="921"/>
      <c r="C48" s="31" t="s">
        <v>52</v>
      </c>
    </row>
    <row r="49" spans="1:4" ht="28.5" x14ac:dyDescent="0.25">
      <c r="A49" s="36" t="s">
        <v>70</v>
      </c>
      <c r="B49" s="29" t="s">
        <v>30</v>
      </c>
      <c r="C49" s="64">
        <f>'varillas eje 1-1'!O33+'varillas eje 5'!O51</f>
        <v>14706.439936800001</v>
      </c>
      <c r="D49" s="25" t="s">
        <v>43</v>
      </c>
    </row>
    <row r="50" spans="1:4" x14ac:dyDescent="0.25">
      <c r="A50" s="28" t="s">
        <v>461</v>
      </c>
      <c r="B50" s="29" t="s">
        <v>30</v>
      </c>
      <c r="C50" s="64">
        <f>'varillas eje 1-1'!O34+'varillas eje 5'!O52</f>
        <v>43249.035070202066</v>
      </c>
      <c r="D50" s="673" t="s">
        <v>143</v>
      </c>
    </row>
    <row r="51" spans="1:4" ht="28.5" x14ac:dyDescent="0.25">
      <c r="A51" s="28" t="s">
        <v>71</v>
      </c>
      <c r="B51" s="29" t="s">
        <v>29</v>
      </c>
      <c r="C51" s="64">
        <f>'varillas eje 1-1'!O36+'varillas eje 5'!O54</f>
        <v>124.588027</v>
      </c>
      <c r="D51" s="25" t="s">
        <v>143</v>
      </c>
    </row>
    <row r="52" spans="1:4" x14ac:dyDescent="0.25">
      <c r="A52" s="28" t="s">
        <v>460</v>
      </c>
      <c r="B52" s="29" t="s">
        <v>29</v>
      </c>
      <c r="C52" s="64">
        <f>'varillas eje 1-1'!O37+'varillas eje 5'!O55</f>
        <v>568.82658333601034</v>
      </c>
      <c r="D52" s="673" t="s">
        <v>143</v>
      </c>
    </row>
    <row r="53" spans="1:4" ht="28.5" x14ac:dyDescent="0.25">
      <c r="A53" s="47" t="s">
        <v>68</v>
      </c>
      <c r="B53" s="29" t="s">
        <v>87</v>
      </c>
      <c r="C53" s="64">
        <f>'varillas eje 1-1'!H89+'varillas eje 5'!H98</f>
        <v>251.8</v>
      </c>
      <c r="D53" s="25" t="s">
        <v>143</v>
      </c>
    </row>
    <row r="54" spans="1:4" x14ac:dyDescent="0.25">
      <c r="A54" s="47" t="s">
        <v>308</v>
      </c>
      <c r="B54" s="29" t="s">
        <v>280</v>
      </c>
      <c r="C54" s="64">
        <f>'varillas eje 1-1'!J37+'varillas eje 5'!J55</f>
        <v>464.61799152102844</v>
      </c>
      <c r="D54" s="673" t="s">
        <v>143</v>
      </c>
    </row>
    <row r="55" spans="1:4" x14ac:dyDescent="0.25">
      <c r="A55" s="28" t="s">
        <v>133</v>
      </c>
      <c r="B55" s="29" t="s">
        <v>29</v>
      </c>
      <c r="C55" s="64">
        <f>'varillas eje 1-1'!J43+'varillas eje 5'!J61</f>
        <v>686.03174727779356</v>
      </c>
      <c r="D55" s="25" t="s">
        <v>143</v>
      </c>
    </row>
    <row r="56" spans="1:4" x14ac:dyDescent="0.25">
      <c r="A56" s="32"/>
      <c r="B56" s="33"/>
      <c r="C56" s="174"/>
    </row>
    <row r="57" spans="1:4" x14ac:dyDescent="0.25">
      <c r="A57" s="25" t="s">
        <v>304</v>
      </c>
      <c r="B57" s="808" t="s">
        <v>51</v>
      </c>
      <c r="C57" s="31" t="s">
        <v>52</v>
      </c>
    </row>
    <row r="58" spans="1:4" ht="28.5" x14ac:dyDescent="0.25">
      <c r="A58" s="36" t="s">
        <v>70</v>
      </c>
      <c r="B58" s="29" t="s">
        <v>30</v>
      </c>
      <c r="C58" s="64">
        <f>'varillas eje 2'!O46+'varillas eje 3'!O44+'varillas eje 4'!O45</f>
        <v>41202.242356000002</v>
      </c>
      <c r="D58" s="25" t="s">
        <v>143</v>
      </c>
    </row>
    <row r="59" spans="1:4" x14ac:dyDescent="0.25">
      <c r="A59" s="28" t="s">
        <v>463</v>
      </c>
      <c r="B59" s="29" t="s">
        <v>30</v>
      </c>
      <c r="C59" s="64">
        <f>'varillas eje 2'!O47+'varillas eje 3'!O45+'varillas eje 4'!O46</f>
        <v>102439.48471147151</v>
      </c>
      <c r="D59" s="673" t="s">
        <v>143</v>
      </c>
    </row>
    <row r="60" spans="1:4" ht="28.5" x14ac:dyDescent="0.25">
      <c r="A60" s="28" t="s">
        <v>305</v>
      </c>
      <c r="B60" s="29" t="s">
        <v>29</v>
      </c>
      <c r="C60" s="64">
        <f>'varillas eje 4'!O48</f>
        <v>46.660847999999994</v>
      </c>
      <c r="D60" s="25" t="s">
        <v>143</v>
      </c>
    </row>
    <row r="61" spans="1:4" ht="28.5" x14ac:dyDescent="0.25">
      <c r="A61" s="28" t="s">
        <v>306</v>
      </c>
      <c r="B61" s="29" t="s">
        <v>29</v>
      </c>
      <c r="C61" s="64">
        <f>'varillas eje 2'!O51+'varillas eje 3'!O49</f>
        <v>193.96353620000002</v>
      </c>
      <c r="D61" s="25" t="s">
        <v>143</v>
      </c>
    </row>
    <row r="62" spans="1:4" x14ac:dyDescent="0.25">
      <c r="A62" s="28" t="s">
        <v>465</v>
      </c>
      <c r="B62" s="29" t="s">
        <v>29</v>
      </c>
      <c r="C62" s="64">
        <f>'varillas eje 1-1'!O37+'varillas eje 4'!O48+'varillas eje 5'!O55</f>
        <v>615.48743133601033</v>
      </c>
      <c r="D62" s="673" t="s">
        <v>143</v>
      </c>
    </row>
    <row r="63" spans="1:4" x14ac:dyDescent="0.25">
      <c r="A63" s="28" t="s">
        <v>464</v>
      </c>
      <c r="B63" s="29" t="s">
        <v>29</v>
      </c>
      <c r="C63" s="64">
        <f>'varillas eje 2'!O54+'varillas eje 3'!O52</f>
        <v>622.91499135378422</v>
      </c>
      <c r="D63" s="673" t="s">
        <v>143</v>
      </c>
    </row>
    <row r="64" spans="1:4" ht="28.5" x14ac:dyDescent="0.25">
      <c r="A64" s="47" t="s">
        <v>68</v>
      </c>
      <c r="B64" s="29" t="s">
        <v>87</v>
      </c>
      <c r="C64" s="64">
        <f>'varillas eje 2'!H105+'varillas eje 2'!S105+'varillas eje 3'!H102+'varillas eje 3'!S102+'varillas eje 4'!H93+'varillas eje 4'!S93</f>
        <v>811.5</v>
      </c>
      <c r="D64" s="25" t="s">
        <v>143</v>
      </c>
    </row>
    <row r="65" spans="1:11" x14ac:dyDescent="0.25">
      <c r="A65" s="47" t="s">
        <v>466</v>
      </c>
      <c r="B65" s="29" t="s">
        <v>280</v>
      </c>
      <c r="C65" s="64">
        <f>'varillas eje 1-1'!J37+'varillas eje 4'!J49+'varillas eje 5'!J55</f>
        <v>688.76277337302622</v>
      </c>
      <c r="D65" s="674" t="s">
        <v>143</v>
      </c>
    </row>
    <row r="66" spans="1:11" x14ac:dyDescent="0.25">
      <c r="A66" s="47" t="s">
        <v>467</v>
      </c>
      <c r="B66" s="29" t="s">
        <v>280</v>
      </c>
      <c r="C66" s="64">
        <f>'varillas eje 2'!J50+'varillas eje 3'!J51</f>
        <v>488.95748060471539</v>
      </c>
      <c r="D66" s="674" t="s">
        <v>143</v>
      </c>
    </row>
    <row r="67" spans="1:11" x14ac:dyDescent="0.25">
      <c r="A67" s="28" t="s">
        <v>133</v>
      </c>
      <c r="B67" s="29" t="s">
        <v>29</v>
      </c>
      <c r="C67" s="64">
        <f>'varillas eje 2'!J60+'varillas eje 3'!J58+'varillas eje 4'!J55</f>
        <v>1131.5186969315846</v>
      </c>
      <c r="D67" s="25" t="s">
        <v>143</v>
      </c>
    </row>
    <row r="68" spans="1:11" x14ac:dyDescent="0.25">
      <c r="A68" s="32"/>
      <c r="B68" s="33"/>
      <c r="C68" s="174"/>
    </row>
    <row r="69" spans="1:11" x14ac:dyDescent="0.25">
      <c r="A69" s="25" t="s">
        <v>260</v>
      </c>
      <c r="B69" s="808" t="s">
        <v>51</v>
      </c>
      <c r="C69" s="31" t="s">
        <v>52</v>
      </c>
    </row>
    <row r="70" spans="1:11" x14ac:dyDescent="0.25">
      <c r="A70" s="28" t="s">
        <v>258</v>
      </c>
      <c r="B70" s="29" t="s">
        <v>29</v>
      </c>
      <c r="C70" s="62">
        <f>'LOSAS Y DIAFRAGMAS EJES 1-2 '!K72+'LOSAS Y DIAFRAGMAS IZQ 4-5'!K72</f>
        <v>82.895099999999999</v>
      </c>
      <c r="D70" s="25" t="s">
        <v>43</v>
      </c>
    </row>
    <row r="71" spans="1:11" x14ac:dyDescent="0.25">
      <c r="A71" s="28" t="s">
        <v>259</v>
      </c>
      <c r="B71" s="29" t="s">
        <v>30</v>
      </c>
      <c r="C71" s="64">
        <v>8517.35</v>
      </c>
      <c r="D71" s="25" t="s">
        <v>43</v>
      </c>
    </row>
    <row r="72" spans="1:11" x14ac:dyDescent="0.25">
      <c r="A72" s="32"/>
      <c r="B72" s="33"/>
      <c r="C72" s="174"/>
    </row>
    <row r="73" spans="1:11" ht="30" x14ac:dyDescent="0.25">
      <c r="A73" s="48" t="s">
        <v>213</v>
      </c>
      <c r="B73" s="810" t="s">
        <v>51</v>
      </c>
      <c r="C73" s="34"/>
      <c r="F73" s="28"/>
      <c r="G73" s="28"/>
      <c r="H73" s="28" t="s">
        <v>122</v>
      </c>
      <c r="I73" s="28" t="s">
        <v>189</v>
      </c>
    </row>
    <row r="74" spans="1:11" x14ac:dyDescent="0.25">
      <c r="A74" s="28" t="s">
        <v>89</v>
      </c>
      <c r="B74" s="29" t="s">
        <v>280</v>
      </c>
      <c r="C74" s="62">
        <f>H74*I74</f>
        <v>112.16</v>
      </c>
      <c r="D74" s="25" t="s">
        <v>43</v>
      </c>
      <c r="F74" s="28" t="s">
        <v>188</v>
      </c>
      <c r="G74" s="28"/>
      <c r="H74" s="565">
        <f>(AVERAGE(2359,2250,2190,2190,2227)/100)</f>
        <v>22.431999999999999</v>
      </c>
      <c r="I74" s="28">
        <v>5</v>
      </c>
    </row>
    <row r="75" spans="1:11" x14ac:dyDescent="0.25">
      <c r="A75" s="28" t="s">
        <v>281</v>
      </c>
      <c r="B75" s="29" t="s">
        <v>69</v>
      </c>
      <c r="C75" s="62">
        <f>SUM(K78:K82)</f>
        <v>36.903300000000002</v>
      </c>
      <c r="D75" s="25" t="s">
        <v>43</v>
      </c>
      <c r="F75" s="32"/>
      <c r="G75" s="32"/>
      <c r="H75" s="32"/>
      <c r="I75" s="32"/>
    </row>
    <row r="76" spans="1:11" x14ac:dyDescent="0.25">
      <c r="A76" s="25"/>
      <c r="B76" s="30"/>
      <c r="C76" s="31"/>
    </row>
    <row r="77" spans="1:11" x14ac:dyDescent="0.25">
      <c r="F77" s="195" t="s">
        <v>282</v>
      </c>
      <c r="G77" s="195"/>
      <c r="H77" s="30" t="s">
        <v>284</v>
      </c>
      <c r="I77" s="30" t="s">
        <v>47</v>
      </c>
      <c r="J77" s="30" t="s">
        <v>189</v>
      </c>
      <c r="K77" s="26" t="s">
        <v>285</v>
      </c>
    </row>
    <row r="78" spans="1:11" x14ac:dyDescent="0.25">
      <c r="F78" s="194" t="s">
        <v>33</v>
      </c>
      <c r="G78" s="194"/>
      <c r="H78" s="569">
        <v>0.18</v>
      </c>
      <c r="I78" s="569">
        <v>133.23500000000001</v>
      </c>
      <c r="J78" s="26">
        <v>1</v>
      </c>
      <c r="K78" s="26">
        <f>H78*I78*J78</f>
        <v>23.982300000000002</v>
      </c>
    </row>
    <row r="79" spans="1:11" x14ac:dyDescent="0.25">
      <c r="F79" s="194" t="s">
        <v>10</v>
      </c>
      <c r="G79" s="194"/>
      <c r="H79" s="569">
        <v>1.2</v>
      </c>
      <c r="I79" s="569">
        <v>1.5</v>
      </c>
      <c r="J79" s="26">
        <v>2</v>
      </c>
      <c r="K79" s="26">
        <f>H79*I79*J79</f>
        <v>3.5999999999999996</v>
      </c>
    </row>
    <row r="80" spans="1:11" x14ac:dyDescent="0.25">
      <c r="F80" s="194" t="s">
        <v>283</v>
      </c>
      <c r="G80" s="194"/>
      <c r="H80" s="569">
        <v>0.3</v>
      </c>
      <c r="I80" s="569">
        <f>((263+204)/2)/100</f>
        <v>2.335</v>
      </c>
      <c r="J80" s="26">
        <v>2</v>
      </c>
      <c r="K80" s="26">
        <f>H80*I80*J80</f>
        <v>1.401</v>
      </c>
    </row>
    <row r="81" spans="6:11" x14ac:dyDescent="0.25">
      <c r="F81" s="194" t="s">
        <v>309</v>
      </c>
      <c r="G81" s="194"/>
      <c r="H81" s="569">
        <v>2</v>
      </c>
      <c r="I81" s="569">
        <v>1.5</v>
      </c>
      <c r="J81" s="26">
        <v>2</v>
      </c>
      <c r="K81" s="26">
        <f>H81*I81*J81</f>
        <v>6</v>
      </c>
    </row>
    <row r="82" spans="6:11" x14ac:dyDescent="0.25">
      <c r="F82" s="194" t="s">
        <v>10</v>
      </c>
      <c r="G82" s="194"/>
      <c r="H82" s="569">
        <v>1.6</v>
      </c>
      <c r="I82" s="569">
        <v>1.2</v>
      </c>
      <c r="J82" s="26">
        <v>1</v>
      </c>
      <c r="K82" s="26">
        <f>H82*I82*J82</f>
        <v>1.92</v>
      </c>
    </row>
  </sheetData>
  <mergeCells count="4">
    <mergeCell ref="A35:A36"/>
    <mergeCell ref="A43:A44"/>
    <mergeCell ref="A1:C1"/>
    <mergeCell ref="B47:B4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'[1]LISTA DE TODOS LOS PARAPETOS'!#REF!</xm:f>
          </x14:formula1>
          <xm:sqref>K13</xm:sqref>
        </x14:dataValidation>
        <x14:dataValidation type="list" allowBlank="1" showInputMessage="1" showErrorMessage="1">
          <x14:formula1>
            <xm:f>'LISTA DE TODOS LOS PARAPETOS'!$A$3:$A$9</xm:f>
          </x14:formula1>
          <xm:sqref>G4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2"/>
  <sheetViews>
    <sheetView showGridLines="0" topLeftCell="F10" zoomScale="115" zoomScaleNormal="115" workbookViewId="0">
      <selection activeCell="L22" sqref="L22"/>
    </sheetView>
  </sheetViews>
  <sheetFormatPr baseColWidth="10" defaultRowHeight="15" x14ac:dyDescent="0.25"/>
  <cols>
    <col min="1" max="1" width="5.85546875" customWidth="1"/>
    <col min="2" max="2" width="6" customWidth="1"/>
    <col min="3" max="3" width="7" customWidth="1"/>
    <col min="4" max="4" width="8.42578125" customWidth="1"/>
    <col min="5" max="5" width="9.140625" customWidth="1"/>
    <col min="6" max="6" width="46.42578125" customWidth="1"/>
    <col min="7" max="7" width="9.140625" customWidth="1"/>
    <col min="8" max="8" width="11" bestFit="1" customWidth="1"/>
    <col min="9" max="9" width="7.140625" customWidth="1"/>
    <col min="10" max="10" width="10" customWidth="1"/>
    <col min="13" max="13" width="6.28515625" customWidth="1"/>
    <col min="14" max="14" width="7" customWidth="1"/>
    <col min="15" max="15" width="4.42578125" customWidth="1"/>
    <col min="16" max="16" width="3.85546875" customWidth="1"/>
    <col min="17" max="17" width="3.42578125" customWidth="1"/>
  </cols>
  <sheetData>
    <row r="1" spans="1:22" ht="19.5" thickBot="1" x14ac:dyDescent="0.35">
      <c r="A1" s="1163" t="s">
        <v>294</v>
      </c>
      <c r="B1" s="1164"/>
      <c r="C1" s="1164"/>
      <c r="D1" s="1164"/>
      <c r="E1" s="1164"/>
      <c r="F1" s="1164"/>
      <c r="G1" s="1164"/>
      <c r="H1" s="1164"/>
      <c r="I1" s="1164"/>
      <c r="J1" s="1164"/>
      <c r="K1" s="1164"/>
      <c r="L1" s="1165"/>
      <c r="M1" s="17"/>
      <c r="N1" s="78"/>
      <c r="O1" s="2"/>
      <c r="P1" s="2"/>
    </row>
    <row r="2" spans="1:22" ht="15.75" thickBot="1" x14ac:dyDescent="0.3">
      <c r="A2" s="12"/>
      <c r="B2" s="10"/>
      <c r="C2" s="10"/>
      <c r="D2" s="10"/>
      <c r="E2" s="10"/>
      <c r="F2" s="10"/>
      <c r="G2" s="10"/>
      <c r="H2" s="10"/>
      <c r="I2" s="10"/>
      <c r="J2" s="10"/>
      <c r="K2" s="10"/>
      <c r="L2" s="13"/>
      <c r="M2" s="474"/>
      <c r="N2" s="78"/>
      <c r="O2" s="2"/>
      <c r="P2" s="2"/>
    </row>
    <row r="3" spans="1:22" ht="15.75" thickBot="1" x14ac:dyDescent="0.3">
      <c r="A3" s="463" t="s">
        <v>0</v>
      </c>
      <c r="B3" s="464" t="s">
        <v>1</v>
      </c>
      <c r="C3" s="464" t="s">
        <v>2</v>
      </c>
      <c r="D3" s="464" t="s">
        <v>3</v>
      </c>
      <c r="E3" s="464" t="s">
        <v>4</v>
      </c>
      <c r="F3" s="1176" t="s">
        <v>5</v>
      </c>
      <c r="G3" s="1177"/>
      <c r="H3" s="489" t="s">
        <v>7</v>
      </c>
      <c r="I3" s="489" t="s">
        <v>8</v>
      </c>
      <c r="J3" s="489" t="s">
        <v>28</v>
      </c>
      <c r="K3" s="490" t="s">
        <v>44</v>
      </c>
      <c r="L3" s="491" t="s">
        <v>9</v>
      </c>
      <c r="M3" s="474"/>
      <c r="N3" s="78"/>
      <c r="O3" s="2"/>
      <c r="P3" s="2"/>
      <c r="R3" s="238" t="s">
        <v>19</v>
      </c>
      <c r="S3" s="239" t="s">
        <v>20</v>
      </c>
      <c r="T3" s="239" t="s">
        <v>25</v>
      </c>
      <c r="U3" s="240" t="s">
        <v>311</v>
      </c>
      <c r="V3" s="462" t="s">
        <v>344</v>
      </c>
    </row>
    <row r="4" spans="1:22" ht="119.25" customHeight="1" thickBot="1" x14ac:dyDescent="0.3">
      <c r="A4" s="1166" t="s">
        <v>112</v>
      </c>
      <c r="B4" s="467" t="s">
        <v>6</v>
      </c>
      <c r="C4" s="468" t="s">
        <v>18</v>
      </c>
      <c r="D4" s="469">
        <v>36</v>
      </c>
      <c r="E4" s="470">
        <f>H4</f>
        <v>3077.22</v>
      </c>
      <c r="F4" s="1170"/>
      <c r="G4" s="1170"/>
      <c r="H4" s="467">
        <f>3083.22-(2*3)</f>
        <v>3077.22</v>
      </c>
      <c r="I4" s="469"/>
      <c r="J4" s="469"/>
      <c r="K4" s="248"/>
      <c r="L4" s="104">
        <f>(E4/100)*D4*VLOOKUP(C4,$R$5:$T$7,3,FALSE)</f>
        <v>1103.3680032</v>
      </c>
      <c r="M4" s="474" t="s">
        <v>43</v>
      </c>
      <c r="N4" s="11"/>
      <c r="O4" s="3"/>
      <c r="P4" s="2"/>
      <c r="R4" s="235" t="s">
        <v>243</v>
      </c>
      <c r="S4" s="236" t="s">
        <v>21</v>
      </c>
      <c r="T4" s="262">
        <v>0.55700000000000005</v>
      </c>
      <c r="U4" s="237">
        <f>ROUNDUP((3/8*2.54*3.5),0)</f>
        <v>4</v>
      </c>
      <c r="V4" s="260">
        <f>ROUND(+PI()*U4*2/4,0)</f>
        <v>6</v>
      </c>
    </row>
    <row r="5" spans="1:22" ht="119.25" customHeight="1" thickBot="1" x14ac:dyDescent="0.3">
      <c r="A5" s="1167"/>
      <c r="B5" s="471" t="s">
        <v>11</v>
      </c>
      <c r="C5" s="146" t="s">
        <v>18</v>
      </c>
      <c r="D5" s="445">
        <f>3+43+31+21+7+1+7+21+31+43+3</f>
        <v>211</v>
      </c>
      <c r="E5" s="113">
        <f>H5+(2*I5)+(2*K5)+(2*J5)+(2*20)+(4*4)</f>
        <v>216</v>
      </c>
      <c r="F5" s="1171"/>
      <c r="G5" s="1171"/>
      <c r="H5" s="471">
        <v>56</v>
      </c>
      <c r="I5" s="445">
        <v>10</v>
      </c>
      <c r="J5" s="445">
        <v>8</v>
      </c>
      <c r="K5" s="446">
        <v>34</v>
      </c>
      <c r="L5" s="447">
        <f>(E5/100)*D5*VLOOKUP(C5,$R$5:$T$7,3,FALSE)</f>
        <v>453.93696000000006</v>
      </c>
      <c r="M5" s="442" t="s">
        <v>43</v>
      </c>
      <c r="N5" s="11"/>
      <c r="O5" s="3"/>
      <c r="P5" s="2"/>
      <c r="R5" s="443" t="s">
        <v>18</v>
      </c>
      <c r="S5" s="220" t="s">
        <v>22</v>
      </c>
      <c r="T5" s="263">
        <v>0.996</v>
      </c>
      <c r="U5" s="440">
        <f>ROUNDUP((4/8*2.54*3.5),0)</f>
        <v>5</v>
      </c>
      <c r="V5" s="259">
        <f t="shared" ref="V5:V10" si="0">ROUND(+PI()*U5*2/4,0)</f>
        <v>8</v>
      </c>
    </row>
    <row r="6" spans="1:22" ht="119.25" customHeight="1" thickBot="1" x14ac:dyDescent="0.3">
      <c r="A6" s="1167"/>
      <c r="B6" s="471" t="s">
        <v>12</v>
      </c>
      <c r="C6" s="146" t="s">
        <v>18</v>
      </c>
      <c r="D6" s="445">
        <f>D5</f>
        <v>211</v>
      </c>
      <c r="E6" s="113">
        <f>H6+(2*I6)+(2*J6)+(2*K6)+(2*20)+(4*3)</f>
        <v>152</v>
      </c>
      <c r="F6" s="1171"/>
      <c r="G6" s="1171"/>
      <c r="H6" s="471">
        <v>32</v>
      </c>
      <c r="I6" s="445">
        <v>8</v>
      </c>
      <c r="J6" s="445">
        <f>VLOOKUP(C6,$R$4:$V$10,5,FALSE)</f>
        <v>8</v>
      </c>
      <c r="K6" s="446">
        <v>18</v>
      </c>
      <c r="L6" s="447">
        <f>(E6/100)*D6*VLOOKUP(C6,$R$5:$T$7,3,FALSE)</f>
        <v>319.43712000000005</v>
      </c>
      <c r="M6" s="442" t="s">
        <v>43</v>
      </c>
      <c r="N6" s="11"/>
      <c r="O6" s="3"/>
      <c r="P6" s="2"/>
      <c r="R6" s="444" t="s">
        <v>244</v>
      </c>
      <c r="S6" s="231" t="s">
        <v>23</v>
      </c>
      <c r="T6" s="262">
        <v>1.55</v>
      </c>
      <c r="U6" s="232">
        <f>ROUNDUP((5/8*2.54*3.5),0)</f>
        <v>6</v>
      </c>
      <c r="V6" s="261">
        <f t="shared" si="0"/>
        <v>9</v>
      </c>
    </row>
    <row r="7" spans="1:22" ht="119.25" customHeight="1" thickBot="1" x14ac:dyDescent="0.3">
      <c r="A7" s="1167"/>
      <c r="B7" s="471" t="s">
        <v>13</v>
      </c>
      <c r="C7" s="146" t="s">
        <v>18</v>
      </c>
      <c r="D7" s="445">
        <f>D6</f>
        <v>211</v>
      </c>
      <c r="E7" s="113">
        <f>(H7*2)+I7+(J7*4)+K7*2</f>
        <v>448.92</v>
      </c>
      <c r="F7" s="465"/>
      <c r="G7" s="473"/>
      <c r="H7" s="471">
        <f>193-2-(2*VLOOKUP(C7,$R$4:$V$10,4,FALSE))</f>
        <v>181</v>
      </c>
      <c r="I7" s="446">
        <f>20-(2*2.54)-(2*VLOOKUP(C7,$R$4:$V$10,4, FALSE))</f>
        <v>4.92</v>
      </c>
      <c r="J7" s="445">
        <f>VLOOKUP(C7,$R$4:$V$10,5,FALSE)</f>
        <v>8</v>
      </c>
      <c r="K7" s="446">
        <v>25</v>
      </c>
      <c r="L7" s="447">
        <f>(E7/100)*D7*VLOOKUP(C7,$R$4:$V$10,3,FALSE)</f>
        <v>943.43231520000006</v>
      </c>
      <c r="M7" s="442" t="s">
        <v>43</v>
      </c>
      <c r="N7" s="11"/>
      <c r="O7" s="3"/>
      <c r="P7" s="2"/>
      <c r="R7" s="443" t="s">
        <v>17</v>
      </c>
      <c r="S7" s="220" t="s">
        <v>24</v>
      </c>
      <c r="T7" s="263">
        <v>2.2349999999999999</v>
      </c>
      <c r="U7" s="440">
        <f>ROUNDUP((6/8*2.54*3.5),0)</f>
        <v>7</v>
      </c>
      <c r="V7" s="259">
        <f t="shared" si="0"/>
        <v>11</v>
      </c>
    </row>
    <row r="8" spans="1:22" ht="119.25" customHeight="1" thickBot="1" x14ac:dyDescent="0.3">
      <c r="A8" s="1168"/>
      <c r="B8" s="471" t="s">
        <v>14</v>
      </c>
      <c r="C8" s="146" t="s">
        <v>18</v>
      </c>
      <c r="D8" s="445">
        <f>D7</f>
        <v>211</v>
      </c>
      <c r="E8" s="113">
        <f>H8+I8+(5*J8)+(2*K8)+(2*10)+2</f>
        <v>249</v>
      </c>
      <c r="F8" s="1171"/>
      <c r="G8" s="1171"/>
      <c r="H8" s="471">
        <f>107-(2*2)-(2*VLOOKUP(C8,$R$4:$V$10,4,FALSE))</f>
        <v>93</v>
      </c>
      <c r="I8" s="445">
        <v>58</v>
      </c>
      <c r="J8" s="445">
        <f>VLOOKUP(C8,$R$4:$V$10,5,FALSE)</f>
        <v>8</v>
      </c>
      <c r="K8" s="446">
        <v>18</v>
      </c>
      <c r="L8" s="447">
        <f>(E8/100)*D8*VLOOKUP(C8,$R$4:$V$10,3,FALSE)</f>
        <v>523.28844000000015</v>
      </c>
      <c r="M8" s="442" t="s">
        <v>43</v>
      </c>
      <c r="N8" s="11"/>
      <c r="O8" s="3"/>
      <c r="P8" s="2"/>
      <c r="R8" s="444" t="s">
        <v>16</v>
      </c>
      <c r="S8" s="233">
        <v>1</v>
      </c>
      <c r="T8" s="262">
        <v>3.99</v>
      </c>
      <c r="U8" s="232">
        <f>ROUNDUP((8/8*2.54*3.5),0)</f>
        <v>9</v>
      </c>
      <c r="V8" s="260">
        <f t="shared" si="0"/>
        <v>14</v>
      </c>
    </row>
    <row r="9" spans="1:22" ht="119.25" customHeight="1" thickBot="1" x14ac:dyDescent="0.3">
      <c r="A9" s="1168"/>
      <c r="B9" s="471" t="s">
        <v>262</v>
      </c>
      <c r="C9" s="146" t="s">
        <v>18</v>
      </c>
      <c r="D9" s="445">
        <f>D8</f>
        <v>211</v>
      </c>
      <c r="E9" s="113">
        <f>H9+(2*I9)+(4*J9)+(2*K9)</f>
        <v>114</v>
      </c>
      <c r="F9" s="1171"/>
      <c r="G9" s="1172"/>
      <c r="H9" s="471">
        <v>32</v>
      </c>
      <c r="I9" s="445">
        <v>15</v>
      </c>
      <c r="J9" s="445">
        <f>VLOOKUP(C9,$R$4:$V$10,5,FALSE)</f>
        <v>8</v>
      </c>
      <c r="K9" s="446">
        <v>10</v>
      </c>
      <c r="L9" s="416">
        <f>(E9/100)*D9*VLOOKUP(C9,$R$4:$V$10,3,FALSE)</f>
        <v>239.57783999999998</v>
      </c>
      <c r="M9" s="442" t="s">
        <v>43</v>
      </c>
      <c r="N9" s="11"/>
      <c r="O9" s="3"/>
      <c r="P9" s="2"/>
      <c r="R9" s="443" t="s">
        <v>290</v>
      </c>
      <c r="S9" s="221">
        <v>1.25</v>
      </c>
      <c r="T9" s="263">
        <v>6.2249999999999996</v>
      </c>
      <c r="U9" s="440">
        <f>ROUNDUP((10/8*2.54*3.5),0)</f>
        <v>12</v>
      </c>
      <c r="V9" s="259">
        <f t="shared" si="0"/>
        <v>19</v>
      </c>
    </row>
    <row r="10" spans="1:22" ht="119.25" customHeight="1" thickBot="1" x14ac:dyDescent="0.3">
      <c r="A10" s="1169"/>
      <c r="B10" s="1173" t="s">
        <v>345</v>
      </c>
      <c r="C10" s="1174"/>
      <c r="D10" s="164">
        <v>6</v>
      </c>
      <c r="E10" s="472">
        <f>(H10*2)+(I10*2)+(J10*3)</f>
        <v>397</v>
      </c>
      <c r="F10" s="1175"/>
      <c r="G10" s="1175"/>
      <c r="H10" s="293">
        <v>98</v>
      </c>
      <c r="I10" s="159">
        <v>30</v>
      </c>
      <c r="J10" s="159">
        <f>ROUND(+PI()*15*2/(360/180),0)</f>
        <v>47</v>
      </c>
      <c r="K10" s="159"/>
      <c r="L10" s="108">
        <f>((E10/100)*D10)*G42</f>
        <v>50.260199999999998</v>
      </c>
      <c r="M10" s="442" t="s">
        <v>43</v>
      </c>
      <c r="N10" s="11"/>
      <c r="O10" s="3"/>
      <c r="P10" s="2"/>
      <c r="R10" s="444" t="s">
        <v>286</v>
      </c>
      <c r="S10" s="234">
        <v>1.5</v>
      </c>
      <c r="T10" s="262">
        <v>8.9380000000000006</v>
      </c>
      <c r="U10" s="232">
        <f>ROUNDUP((12/8*2.54*3.5),0)</f>
        <v>14</v>
      </c>
      <c r="V10" s="258">
        <f t="shared" si="0"/>
        <v>22</v>
      </c>
    </row>
    <row r="11" spans="1:22" ht="15.75" thickBot="1" x14ac:dyDescent="0.3">
      <c r="A11" s="54"/>
      <c r="B11" s="168"/>
      <c r="C11" s="169"/>
      <c r="D11" s="169"/>
      <c r="E11" s="169"/>
      <c r="F11" s="1142" t="s">
        <v>111</v>
      </c>
      <c r="G11" s="1143"/>
      <c r="H11" s="1144"/>
      <c r="I11" s="170" t="s">
        <v>51</v>
      </c>
      <c r="J11" s="171" t="s">
        <v>113</v>
      </c>
      <c r="K11" s="172">
        <v>10</v>
      </c>
      <c r="L11" s="173" t="s">
        <v>167</v>
      </c>
      <c r="M11" s="308"/>
    </row>
    <row r="12" spans="1:22" x14ac:dyDescent="0.25">
      <c r="B12" s="478"/>
      <c r="C12" s="479"/>
      <c r="D12" s="479"/>
      <c r="E12" s="479"/>
      <c r="F12" s="1145" t="s">
        <v>116</v>
      </c>
      <c r="G12" s="1146"/>
      <c r="H12" s="1147"/>
      <c r="I12" s="480" t="s">
        <v>30</v>
      </c>
      <c r="J12" s="481">
        <f>SUM(L4:L9)</f>
        <v>3583.0406784000002</v>
      </c>
      <c r="K12" s="1148">
        <f>J12*$K$11</f>
        <v>35830.406783999999</v>
      </c>
      <c r="L12" s="1149"/>
      <c r="M12" s="308" t="s">
        <v>43</v>
      </c>
    </row>
    <row r="13" spans="1:22" x14ac:dyDescent="0.25">
      <c r="B13" s="478"/>
      <c r="C13" s="479"/>
      <c r="D13" s="479"/>
      <c r="E13" s="479"/>
      <c r="F13" s="1145" t="s">
        <v>117</v>
      </c>
      <c r="G13" s="1146"/>
      <c r="H13" s="1147"/>
      <c r="I13" s="480" t="s">
        <v>30</v>
      </c>
      <c r="J13" s="482">
        <f>I27</f>
        <v>932.56580880000001</v>
      </c>
      <c r="K13" s="1150">
        <f>J13*$K$11</f>
        <v>9325.6580880000001</v>
      </c>
      <c r="L13" s="1151"/>
      <c r="M13" s="308" t="s">
        <v>43</v>
      </c>
    </row>
    <row r="14" spans="1:22" x14ac:dyDescent="0.25">
      <c r="B14" s="478"/>
      <c r="C14" s="479"/>
      <c r="D14" s="479"/>
      <c r="E14" s="479"/>
      <c r="F14" s="1145" t="s">
        <v>48</v>
      </c>
      <c r="G14" s="1146"/>
      <c r="H14" s="1147"/>
      <c r="I14" s="480" t="s">
        <v>29</v>
      </c>
      <c r="J14" s="483">
        <f>MAX(H32:H37)</f>
        <v>21.345132060000001</v>
      </c>
      <c r="K14" s="1150">
        <f>J14*$K$11</f>
        <v>213.4513206</v>
      </c>
      <c r="L14" s="1151"/>
      <c r="M14" s="308" t="s">
        <v>43</v>
      </c>
    </row>
    <row r="15" spans="1:22" ht="27.75" customHeight="1" thickBot="1" x14ac:dyDescent="0.3">
      <c r="B15" s="484"/>
      <c r="C15" s="485"/>
      <c r="D15" s="485"/>
      <c r="E15" s="485"/>
      <c r="F15" s="1152" t="s">
        <v>118</v>
      </c>
      <c r="G15" s="1153"/>
      <c r="H15" s="1154"/>
      <c r="I15" s="486" t="s">
        <v>30</v>
      </c>
      <c r="J15" s="487">
        <f>L10</f>
        <v>50.260199999999998</v>
      </c>
      <c r="K15" s="1155">
        <f>J15*$K$11</f>
        <v>502.60199999999998</v>
      </c>
      <c r="L15" s="1156"/>
      <c r="M15" s="308" t="s">
        <v>43</v>
      </c>
    </row>
    <row r="16" spans="1:22" ht="15.75" thickBot="1" x14ac:dyDescent="0.3">
      <c r="B16" s="70"/>
      <c r="C16" s="70"/>
      <c r="D16" s="70"/>
      <c r="E16" s="70"/>
      <c r="F16" s="142"/>
      <c r="M16" s="308"/>
    </row>
    <row r="17" spans="5:15" ht="15" customHeight="1" x14ac:dyDescent="0.25">
      <c r="G17" s="1159" t="s">
        <v>131</v>
      </c>
      <c r="H17" s="1160"/>
      <c r="I17" s="143" t="s">
        <v>29</v>
      </c>
      <c r="J17" s="475">
        <f>(J12+J13)/J18</f>
        <v>0.57523649518471343</v>
      </c>
      <c r="M17" s="308"/>
    </row>
    <row r="18" spans="5:15" ht="15" customHeight="1" x14ac:dyDescent="0.25">
      <c r="G18" s="1161" t="s">
        <v>127</v>
      </c>
      <c r="H18" s="1162"/>
      <c r="I18" s="61" t="s">
        <v>128</v>
      </c>
      <c r="J18" s="476">
        <v>7850</v>
      </c>
      <c r="M18" s="308"/>
      <c r="N18" s="71"/>
    </row>
    <row r="19" spans="5:15" ht="15.75" customHeight="1" thickBot="1" x14ac:dyDescent="0.3">
      <c r="G19" s="1135" t="s">
        <v>132</v>
      </c>
      <c r="H19" s="1136"/>
      <c r="I19" s="144" t="s">
        <v>29</v>
      </c>
      <c r="J19" s="145">
        <f>J14-J17</f>
        <v>20.769895564815286</v>
      </c>
      <c r="K19" s="92"/>
      <c r="M19" s="308"/>
    </row>
    <row r="20" spans="5:15" x14ac:dyDescent="0.25">
      <c r="M20" s="308"/>
    </row>
    <row r="21" spans="5:15" x14ac:dyDescent="0.25">
      <c r="M21" s="308"/>
    </row>
    <row r="22" spans="5:15" x14ac:dyDescent="0.25">
      <c r="M22" s="308"/>
    </row>
    <row r="23" spans="5:15" x14ac:dyDescent="0.25">
      <c r="M23" s="308"/>
    </row>
    <row r="24" spans="5:15" x14ac:dyDescent="0.25">
      <c r="M24" s="308"/>
    </row>
    <row r="25" spans="5:15" x14ac:dyDescent="0.25">
      <c r="M25" s="308"/>
    </row>
    <row r="26" spans="5:15" x14ac:dyDescent="0.25">
      <c r="E26" s="8" t="s">
        <v>151</v>
      </c>
      <c r="F26" s="8" t="s">
        <v>166</v>
      </c>
      <c r="G26" s="1157" t="s">
        <v>121</v>
      </c>
      <c r="H26" s="1158"/>
      <c r="I26" s="1157" t="s">
        <v>153</v>
      </c>
      <c r="J26" s="1158"/>
      <c r="M26" s="308"/>
      <c r="N26" s="1137"/>
      <c r="O26" s="1137"/>
    </row>
    <row r="27" spans="5:15" x14ac:dyDescent="0.25">
      <c r="E27" s="441" t="s">
        <v>22</v>
      </c>
      <c r="F27" s="488">
        <v>36</v>
      </c>
      <c r="G27" s="1138">
        <f>G37+2</f>
        <v>32.8322</v>
      </c>
      <c r="H27" s="1139"/>
      <c r="I27" s="1140">
        <f>(F27*G27)*G41</f>
        <v>932.56580880000001</v>
      </c>
      <c r="J27" s="1141"/>
      <c r="K27" s="92" t="s">
        <v>43</v>
      </c>
      <c r="M27" s="308"/>
    </row>
    <row r="28" spans="5:15" x14ac:dyDescent="0.25">
      <c r="M28" s="308"/>
    </row>
    <row r="29" spans="5:15" x14ac:dyDescent="0.25">
      <c r="M29" s="308"/>
    </row>
    <row r="30" spans="5:15" x14ac:dyDescent="0.25">
      <c r="M30" s="308"/>
    </row>
    <row r="31" spans="5:15" x14ac:dyDescent="0.25">
      <c r="E31" s="1"/>
      <c r="F31" s="1" t="s">
        <v>165</v>
      </c>
      <c r="G31" s="1" t="s">
        <v>157</v>
      </c>
      <c r="H31" s="1" t="s">
        <v>152</v>
      </c>
      <c r="M31" s="308"/>
    </row>
    <row r="32" spans="5:15" x14ac:dyDescent="0.25">
      <c r="E32" s="1" t="s">
        <v>158</v>
      </c>
      <c r="F32" s="1">
        <v>0.16969999999999999</v>
      </c>
      <c r="G32" s="1"/>
      <c r="H32" s="1">
        <f t="shared" ref="H32:H37" si="1">F32*G32</f>
        <v>0</v>
      </c>
      <c r="M32" s="308"/>
    </row>
    <row r="33" spans="5:13" x14ac:dyDescent="0.25">
      <c r="E33" s="1" t="s">
        <v>159</v>
      </c>
      <c r="F33" s="1">
        <v>0.23200000000000001</v>
      </c>
      <c r="G33" s="1"/>
      <c r="H33" s="1">
        <f t="shared" si="1"/>
        <v>0</v>
      </c>
      <c r="M33" s="308"/>
    </row>
    <row r="34" spans="5:13" x14ac:dyDescent="0.25">
      <c r="E34" s="1" t="s">
        <v>160</v>
      </c>
      <c r="F34" s="1">
        <v>0.36249999999999999</v>
      </c>
      <c r="G34" s="1"/>
      <c r="H34" s="1">
        <f t="shared" si="1"/>
        <v>0</v>
      </c>
      <c r="M34" s="308"/>
    </row>
    <row r="35" spans="5:13" x14ac:dyDescent="0.25">
      <c r="E35" s="1" t="s">
        <v>154</v>
      </c>
      <c r="F35" s="1">
        <v>0.49740000000000001</v>
      </c>
      <c r="G35" s="1"/>
      <c r="H35" s="1">
        <f t="shared" si="1"/>
        <v>0</v>
      </c>
      <c r="M35" s="308"/>
    </row>
    <row r="36" spans="5:13" x14ac:dyDescent="0.25">
      <c r="E36" s="1" t="s">
        <v>156</v>
      </c>
      <c r="F36" s="1">
        <v>0.64600000000000002</v>
      </c>
      <c r="G36" s="1"/>
      <c r="H36" s="1">
        <f t="shared" si="1"/>
        <v>0</v>
      </c>
      <c r="M36" s="308"/>
    </row>
    <row r="37" spans="5:13" x14ac:dyDescent="0.25">
      <c r="E37" s="72" t="s">
        <v>155</v>
      </c>
      <c r="F37" s="477">
        <v>0.69230000000000003</v>
      </c>
      <c r="G37" s="72">
        <v>30.8322</v>
      </c>
      <c r="H37" s="83">
        <f t="shared" si="1"/>
        <v>21.345132060000001</v>
      </c>
      <c r="I37" s="92" t="s">
        <v>43</v>
      </c>
      <c r="M37" s="308"/>
    </row>
    <row r="38" spans="5:13" x14ac:dyDescent="0.25">
      <c r="M38" s="308"/>
    </row>
    <row r="39" spans="5:13" x14ac:dyDescent="0.25">
      <c r="M39" s="308"/>
    </row>
    <row r="40" spans="5:13" x14ac:dyDescent="0.25">
      <c r="F40" s="1" t="s">
        <v>164</v>
      </c>
      <c r="G40" s="1" t="s">
        <v>162</v>
      </c>
      <c r="M40" s="308"/>
    </row>
    <row r="41" spans="5:13" x14ac:dyDescent="0.25">
      <c r="F41" s="79" t="s">
        <v>161</v>
      </c>
      <c r="G41" s="1">
        <v>0.78900000000000003</v>
      </c>
      <c r="M41" s="308"/>
    </row>
    <row r="42" spans="5:13" x14ac:dyDescent="0.25">
      <c r="F42" s="1" t="s">
        <v>163</v>
      </c>
      <c r="G42" s="1">
        <v>2.11</v>
      </c>
      <c r="M42" s="308"/>
    </row>
  </sheetData>
  <mergeCells count="27">
    <mergeCell ref="N26:O26"/>
    <mergeCell ref="G27:H27"/>
    <mergeCell ref="I27:J27"/>
    <mergeCell ref="F11:H11"/>
    <mergeCell ref="F12:H12"/>
    <mergeCell ref="K12:L12"/>
    <mergeCell ref="F13:H13"/>
    <mergeCell ref="K13:L13"/>
    <mergeCell ref="F14:H14"/>
    <mergeCell ref="K14:L14"/>
    <mergeCell ref="F15:H15"/>
    <mergeCell ref="K15:L15"/>
    <mergeCell ref="G26:H26"/>
    <mergeCell ref="I26:J26"/>
    <mergeCell ref="G17:H17"/>
    <mergeCell ref="G18:H18"/>
    <mergeCell ref="G19:H19"/>
    <mergeCell ref="A1:L1"/>
    <mergeCell ref="A4:A10"/>
    <mergeCell ref="F4:G4"/>
    <mergeCell ref="F5:G5"/>
    <mergeCell ref="F6:G6"/>
    <mergeCell ref="F8:G8"/>
    <mergeCell ref="F9:G9"/>
    <mergeCell ref="B10:C10"/>
    <mergeCell ref="F10:G10"/>
    <mergeCell ref="F3:G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2"/>
  <sheetViews>
    <sheetView showGridLines="0" topLeftCell="C10" zoomScale="85" zoomScaleNormal="85" workbookViewId="0">
      <selection activeCell="J7" sqref="J7"/>
    </sheetView>
  </sheetViews>
  <sheetFormatPr baseColWidth="10" defaultRowHeight="15" x14ac:dyDescent="0.25"/>
  <cols>
    <col min="1" max="1" width="5.85546875" customWidth="1"/>
    <col min="2" max="2" width="6" customWidth="1"/>
    <col min="3" max="3" width="7" customWidth="1"/>
    <col min="4" max="4" width="8.42578125" customWidth="1"/>
    <col min="5" max="5" width="9.140625" customWidth="1"/>
    <col min="6" max="6" width="46.42578125" customWidth="1"/>
    <col min="7" max="7" width="9.140625" customWidth="1"/>
    <col min="8" max="8" width="11" bestFit="1" customWidth="1"/>
    <col min="9" max="9" width="7.140625" customWidth="1"/>
    <col min="10" max="10" width="10" customWidth="1"/>
    <col min="13" max="13" width="6.28515625" customWidth="1"/>
    <col min="14" max="14" width="7" customWidth="1"/>
    <col min="15" max="15" width="4.42578125" customWidth="1"/>
    <col min="16" max="16" width="3.85546875" customWidth="1"/>
    <col min="17" max="17" width="3.42578125" customWidth="1"/>
  </cols>
  <sheetData>
    <row r="1" spans="1:22" ht="19.5" thickBot="1" x14ac:dyDescent="0.35">
      <c r="A1" s="1163" t="s">
        <v>297</v>
      </c>
      <c r="B1" s="1164"/>
      <c r="C1" s="1164"/>
      <c r="D1" s="1164"/>
      <c r="E1" s="1164"/>
      <c r="F1" s="1164"/>
      <c r="G1" s="1164"/>
      <c r="H1" s="1164"/>
      <c r="I1" s="1164"/>
      <c r="J1" s="1164"/>
      <c r="K1" s="1164"/>
      <c r="L1" s="1165"/>
      <c r="M1" s="17"/>
      <c r="N1" s="78"/>
      <c r="O1" s="2"/>
      <c r="P1" s="2"/>
    </row>
    <row r="2" spans="1:22" ht="15.75" thickBot="1" x14ac:dyDescent="0.3">
      <c r="A2" s="12"/>
      <c r="B2" s="10"/>
      <c r="C2" s="10"/>
      <c r="D2" s="10"/>
      <c r="E2" s="10"/>
      <c r="F2" s="10"/>
      <c r="G2" s="10"/>
      <c r="H2" s="10"/>
      <c r="I2" s="10"/>
      <c r="J2" s="10"/>
      <c r="K2" s="10"/>
      <c r="L2" s="13"/>
      <c r="M2" s="474"/>
      <c r="N2" s="78"/>
      <c r="O2" s="2"/>
      <c r="P2" s="2"/>
    </row>
    <row r="3" spans="1:22" ht="15.75" thickBot="1" x14ac:dyDescent="0.3">
      <c r="A3" s="463" t="s">
        <v>0</v>
      </c>
      <c r="B3" s="464" t="s">
        <v>1</v>
      </c>
      <c r="C3" s="464" t="s">
        <v>2</v>
      </c>
      <c r="D3" s="464" t="s">
        <v>3</v>
      </c>
      <c r="E3" s="464" t="s">
        <v>4</v>
      </c>
      <c r="F3" s="1176" t="s">
        <v>5</v>
      </c>
      <c r="G3" s="1177"/>
      <c r="H3" s="489" t="s">
        <v>7</v>
      </c>
      <c r="I3" s="489" t="s">
        <v>8</v>
      </c>
      <c r="J3" s="489" t="s">
        <v>28</v>
      </c>
      <c r="K3" s="490" t="s">
        <v>44</v>
      </c>
      <c r="L3" s="491" t="s">
        <v>9</v>
      </c>
      <c r="M3" s="474"/>
      <c r="N3" s="78"/>
      <c r="O3" s="2"/>
      <c r="P3" s="2"/>
      <c r="R3" s="238" t="s">
        <v>19</v>
      </c>
      <c r="S3" s="239" t="s">
        <v>20</v>
      </c>
      <c r="T3" s="239" t="s">
        <v>25</v>
      </c>
      <c r="U3" s="240" t="s">
        <v>311</v>
      </c>
      <c r="V3" s="462" t="s">
        <v>344</v>
      </c>
    </row>
    <row r="4" spans="1:22" ht="120" customHeight="1" thickBot="1" x14ac:dyDescent="0.3">
      <c r="A4" s="1166" t="s">
        <v>112</v>
      </c>
      <c r="B4" s="467" t="s">
        <v>6</v>
      </c>
      <c r="C4" s="468" t="s">
        <v>18</v>
      </c>
      <c r="D4" s="469">
        <v>36</v>
      </c>
      <c r="E4" s="470">
        <f>H4</f>
        <v>3078.12</v>
      </c>
      <c r="F4" s="1170"/>
      <c r="G4" s="1170"/>
      <c r="H4" s="467">
        <f>3084.12-(2*3)</f>
        <v>3078.12</v>
      </c>
      <c r="I4" s="469"/>
      <c r="J4" s="469"/>
      <c r="K4" s="248"/>
      <c r="L4" s="104">
        <f>(E4/100)*D4*VLOOKUP(C4,$R$5:$T$7,3,FALSE)</f>
        <v>1103.6907071999999</v>
      </c>
      <c r="M4" s="474" t="s">
        <v>143</v>
      </c>
      <c r="N4" s="11"/>
      <c r="O4" s="3"/>
      <c r="P4" s="2"/>
      <c r="R4" s="235" t="s">
        <v>243</v>
      </c>
      <c r="S4" s="236" t="s">
        <v>21</v>
      </c>
      <c r="T4" s="262">
        <v>0.55700000000000005</v>
      </c>
      <c r="U4" s="237">
        <f>ROUNDUP((3/8*2.54*3.5),0)</f>
        <v>4</v>
      </c>
      <c r="V4" s="260">
        <f>ROUND(+PI()*U4*2/4,0)</f>
        <v>6</v>
      </c>
    </row>
    <row r="5" spans="1:22" ht="120" customHeight="1" thickBot="1" x14ac:dyDescent="0.3">
      <c r="A5" s="1167"/>
      <c r="B5" s="471" t="s">
        <v>11</v>
      </c>
      <c r="C5" s="146" t="s">
        <v>18</v>
      </c>
      <c r="D5" s="455">
        <f>3+43+31+21+7+1+7+21+31+43+3</f>
        <v>211</v>
      </c>
      <c r="E5" s="113">
        <f>H5+(2*I5)+(2*K5)+(2*J5)+(2*20)+(4*4)</f>
        <v>216</v>
      </c>
      <c r="F5" s="1171"/>
      <c r="G5" s="1171"/>
      <c r="H5" s="471">
        <v>56</v>
      </c>
      <c r="I5" s="455">
        <v>10</v>
      </c>
      <c r="J5" s="455">
        <v>8</v>
      </c>
      <c r="K5" s="459">
        <v>34</v>
      </c>
      <c r="L5" s="461">
        <f>(E5/100)*D5*VLOOKUP(C5,$R$5:$T$7,3,FALSE)</f>
        <v>453.93696000000006</v>
      </c>
      <c r="M5" s="456" t="s">
        <v>143</v>
      </c>
      <c r="N5" s="11"/>
      <c r="O5" s="3"/>
      <c r="P5" s="2"/>
      <c r="R5" s="452" t="s">
        <v>18</v>
      </c>
      <c r="S5" s="220" t="s">
        <v>22</v>
      </c>
      <c r="T5" s="263">
        <v>0.996</v>
      </c>
      <c r="U5" s="450">
        <f>ROUNDUP((4/8*2.54*3.5),0)</f>
        <v>5</v>
      </c>
      <c r="V5" s="259">
        <f t="shared" ref="V5:V10" si="0">ROUND(+PI()*U5*2/4,0)</f>
        <v>8</v>
      </c>
    </row>
    <row r="6" spans="1:22" ht="120" customHeight="1" thickBot="1" x14ac:dyDescent="0.3">
      <c r="A6" s="1167"/>
      <c r="B6" s="471" t="s">
        <v>12</v>
      </c>
      <c r="C6" s="146" t="s">
        <v>18</v>
      </c>
      <c r="D6" s="455">
        <f>D5</f>
        <v>211</v>
      </c>
      <c r="E6" s="113">
        <f>H6+(2*I6)+(2*J6)+(2*K6)+(2*20)+(4*3)</f>
        <v>152</v>
      </c>
      <c r="F6" s="1171"/>
      <c r="G6" s="1171"/>
      <c r="H6" s="471">
        <v>32</v>
      </c>
      <c r="I6" s="455">
        <v>8</v>
      </c>
      <c r="J6" s="455">
        <f>VLOOKUP(C6,$R$4:$V$10,5,FALSE)</f>
        <v>8</v>
      </c>
      <c r="K6" s="459">
        <v>18</v>
      </c>
      <c r="L6" s="461">
        <f>(E6/100)*D6*VLOOKUP(C6,$R$5:$T$7,3,FALSE)</f>
        <v>319.43712000000005</v>
      </c>
      <c r="M6" s="456" t="s">
        <v>143</v>
      </c>
      <c r="N6" s="11"/>
      <c r="O6" s="3"/>
      <c r="P6" s="2"/>
      <c r="R6" s="453" t="s">
        <v>244</v>
      </c>
      <c r="S6" s="231" t="s">
        <v>23</v>
      </c>
      <c r="T6" s="262">
        <v>1.55</v>
      </c>
      <c r="U6" s="232">
        <f>ROUNDUP((5/8*2.54*3.5),0)</f>
        <v>6</v>
      </c>
      <c r="V6" s="261">
        <f t="shared" si="0"/>
        <v>9</v>
      </c>
    </row>
    <row r="7" spans="1:22" ht="120" customHeight="1" thickBot="1" x14ac:dyDescent="0.3">
      <c r="A7" s="1167"/>
      <c r="B7" s="471" t="s">
        <v>13</v>
      </c>
      <c r="C7" s="146" t="s">
        <v>18</v>
      </c>
      <c r="D7" s="455">
        <f>D6</f>
        <v>211</v>
      </c>
      <c r="E7" s="113">
        <f>(H7*2)+I7+(J7*4)+K7*2</f>
        <v>448.92</v>
      </c>
      <c r="F7" s="465"/>
      <c r="G7" s="473"/>
      <c r="H7" s="471">
        <f>193-2-(2*VLOOKUP(C7,$R$4:$V$10,4,FALSE))</f>
        <v>181</v>
      </c>
      <c r="I7" s="459">
        <f>20-(2*2.54)-(2*VLOOKUP(C7,$R$4:$V$10,4, FALSE))</f>
        <v>4.92</v>
      </c>
      <c r="J7" s="455">
        <f>VLOOKUP(C7,$R$4:$V$10,5,FALSE)</f>
        <v>8</v>
      </c>
      <c r="K7" s="459">
        <v>25</v>
      </c>
      <c r="L7" s="461">
        <f>(E7/100)*D7*VLOOKUP(C7,$R$4:$V$10,3,FALSE)</f>
        <v>943.43231520000006</v>
      </c>
      <c r="M7" s="456" t="s">
        <v>143</v>
      </c>
      <c r="N7" s="11"/>
      <c r="O7" s="3"/>
      <c r="P7" s="2"/>
      <c r="R7" s="452" t="s">
        <v>17</v>
      </c>
      <c r="S7" s="220" t="s">
        <v>24</v>
      </c>
      <c r="T7" s="263">
        <v>2.2349999999999999</v>
      </c>
      <c r="U7" s="450">
        <f>ROUNDUP((6/8*2.54*3.5),0)</f>
        <v>7</v>
      </c>
      <c r="V7" s="259">
        <f t="shared" si="0"/>
        <v>11</v>
      </c>
    </row>
    <row r="8" spans="1:22" ht="120" customHeight="1" thickBot="1" x14ac:dyDescent="0.3">
      <c r="A8" s="1168"/>
      <c r="B8" s="471" t="s">
        <v>14</v>
      </c>
      <c r="C8" s="146" t="s">
        <v>18</v>
      </c>
      <c r="D8" s="455">
        <f>D7</f>
        <v>211</v>
      </c>
      <c r="E8" s="113">
        <f>H8+I8+(5*J8)+(2*K8)+(2*10)+2</f>
        <v>249</v>
      </c>
      <c r="F8" s="1171"/>
      <c r="G8" s="1171"/>
      <c r="H8" s="471">
        <f>107-(2*2)-(2*VLOOKUP(C8,$R$4:$V$10,4,FALSE))</f>
        <v>93</v>
      </c>
      <c r="I8" s="455">
        <v>58</v>
      </c>
      <c r="J8" s="455">
        <f>VLOOKUP(C8,$R$4:$V$10,5,FALSE)</f>
        <v>8</v>
      </c>
      <c r="K8" s="459">
        <v>18</v>
      </c>
      <c r="L8" s="461">
        <f>(E8/100)*D8*VLOOKUP(C8,$R$4:$V$10,3,FALSE)</f>
        <v>523.28844000000015</v>
      </c>
      <c r="M8" s="456" t="s">
        <v>143</v>
      </c>
      <c r="N8" s="11"/>
      <c r="O8" s="3"/>
      <c r="P8" s="2"/>
      <c r="R8" s="453" t="s">
        <v>16</v>
      </c>
      <c r="S8" s="233">
        <v>1</v>
      </c>
      <c r="T8" s="262">
        <v>3.99</v>
      </c>
      <c r="U8" s="232">
        <f>ROUNDUP((8/8*2.54*3.5),0)</f>
        <v>9</v>
      </c>
      <c r="V8" s="260">
        <f t="shared" si="0"/>
        <v>14</v>
      </c>
    </row>
    <row r="9" spans="1:22" ht="120" customHeight="1" thickBot="1" x14ac:dyDescent="0.3">
      <c r="A9" s="1168"/>
      <c r="B9" s="471" t="s">
        <v>262</v>
      </c>
      <c r="C9" s="146" t="s">
        <v>18</v>
      </c>
      <c r="D9" s="455">
        <f>D8</f>
        <v>211</v>
      </c>
      <c r="E9" s="113">
        <f>H9+(2*I9)+(4*J9)+(2*K9)</f>
        <v>114</v>
      </c>
      <c r="F9" s="1171"/>
      <c r="G9" s="1172"/>
      <c r="H9" s="471">
        <v>32</v>
      </c>
      <c r="I9" s="455">
        <v>15</v>
      </c>
      <c r="J9" s="455">
        <f>VLOOKUP(C9,$R$4:$V$10,5,FALSE)</f>
        <v>8</v>
      </c>
      <c r="K9" s="459">
        <v>10</v>
      </c>
      <c r="L9" s="416">
        <f>(E9/100)*D9*VLOOKUP(C9,$R$4:$V$10,3,FALSE)</f>
        <v>239.57783999999998</v>
      </c>
      <c r="M9" s="456" t="s">
        <v>143</v>
      </c>
      <c r="N9" s="11"/>
      <c r="O9" s="3"/>
      <c r="P9" s="2"/>
      <c r="R9" s="452" t="s">
        <v>290</v>
      </c>
      <c r="S9" s="221">
        <v>1.25</v>
      </c>
      <c r="T9" s="263">
        <v>6.2249999999999996</v>
      </c>
      <c r="U9" s="450">
        <f>ROUNDUP((10/8*2.54*3.5),0)</f>
        <v>12</v>
      </c>
      <c r="V9" s="259">
        <f t="shared" si="0"/>
        <v>19</v>
      </c>
    </row>
    <row r="10" spans="1:22" ht="120" customHeight="1" thickBot="1" x14ac:dyDescent="0.3">
      <c r="A10" s="1169"/>
      <c r="B10" s="1173" t="s">
        <v>345</v>
      </c>
      <c r="C10" s="1174"/>
      <c r="D10" s="164">
        <v>6</v>
      </c>
      <c r="E10" s="472">
        <f>(H10*2)+(I10*2)+(J10*3)</f>
        <v>397</v>
      </c>
      <c r="F10" s="1175"/>
      <c r="G10" s="1175"/>
      <c r="H10" s="293">
        <v>98</v>
      </c>
      <c r="I10" s="159">
        <v>30</v>
      </c>
      <c r="J10" s="159">
        <f>ROUND(+PI()*15*2/(360/180),0)</f>
        <v>47</v>
      </c>
      <c r="K10" s="159"/>
      <c r="L10" s="108">
        <f>((E10/100)*D10)*G42</f>
        <v>50.260199999999998</v>
      </c>
      <c r="M10" s="456" t="s">
        <v>143</v>
      </c>
      <c r="N10" s="11"/>
      <c r="O10" s="3"/>
      <c r="P10" s="2"/>
      <c r="R10" s="453" t="s">
        <v>286</v>
      </c>
      <c r="S10" s="234">
        <v>1.5</v>
      </c>
      <c r="T10" s="262">
        <v>8.9380000000000006</v>
      </c>
      <c r="U10" s="232">
        <f>ROUNDUP((12/8*2.54*3.5),0)</f>
        <v>14</v>
      </c>
      <c r="V10" s="258">
        <f t="shared" si="0"/>
        <v>22</v>
      </c>
    </row>
    <row r="11" spans="1:22" ht="15.75" thickBot="1" x14ac:dyDescent="0.3">
      <c r="A11" s="54"/>
      <c r="B11" s="168"/>
      <c r="C11" s="169"/>
      <c r="D11" s="169"/>
      <c r="E11" s="169"/>
      <c r="F11" s="1142" t="s">
        <v>111</v>
      </c>
      <c r="G11" s="1143"/>
      <c r="H11" s="1144"/>
      <c r="I11" s="170" t="s">
        <v>51</v>
      </c>
      <c r="J11" s="171" t="s">
        <v>113</v>
      </c>
      <c r="K11" s="172">
        <v>10</v>
      </c>
      <c r="L11" s="173" t="s">
        <v>167</v>
      </c>
      <c r="M11" s="308"/>
    </row>
    <row r="12" spans="1:22" x14ac:dyDescent="0.25">
      <c r="B12" s="478"/>
      <c r="C12" s="479"/>
      <c r="D12" s="479"/>
      <c r="E12" s="479"/>
      <c r="F12" s="1145" t="s">
        <v>116</v>
      </c>
      <c r="G12" s="1146"/>
      <c r="H12" s="1147"/>
      <c r="I12" s="480" t="s">
        <v>30</v>
      </c>
      <c r="J12" s="481">
        <f>SUM(L4:L9)</f>
        <v>3583.3633824000003</v>
      </c>
      <c r="K12" s="1148">
        <f>J12*$K$11</f>
        <v>35833.633824000004</v>
      </c>
      <c r="L12" s="1149"/>
      <c r="M12" s="308"/>
    </row>
    <row r="13" spans="1:22" x14ac:dyDescent="0.25">
      <c r="B13" s="478"/>
      <c r="C13" s="479"/>
      <c r="D13" s="479"/>
      <c r="E13" s="479"/>
      <c r="F13" s="1145" t="s">
        <v>117</v>
      </c>
      <c r="G13" s="1146"/>
      <c r="H13" s="1147"/>
      <c r="I13" s="480" t="s">
        <v>30</v>
      </c>
      <c r="J13" s="482">
        <f>I27</f>
        <v>932.82144480000011</v>
      </c>
      <c r="K13" s="1150">
        <f>J13*$K$11</f>
        <v>9328.2144480000006</v>
      </c>
      <c r="L13" s="1151"/>
      <c r="M13" s="308"/>
    </row>
    <row r="14" spans="1:22" x14ac:dyDescent="0.25">
      <c r="B14" s="478"/>
      <c r="C14" s="479"/>
      <c r="D14" s="479"/>
      <c r="E14" s="479"/>
      <c r="F14" s="1145" t="s">
        <v>48</v>
      </c>
      <c r="G14" s="1146"/>
      <c r="H14" s="1147"/>
      <c r="I14" s="480" t="s">
        <v>29</v>
      </c>
      <c r="J14" s="483">
        <f>MAX(H32:H37)</f>
        <v>21.351362760000001</v>
      </c>
      <c r="K14" s="1150">
        <f>J14*$K$11</f>
        <v>213.51362760000001</v>
      </c>
      <c r="L14" s="1151"/>
      <c r="M14" s="308"/>
    </row>
    <row r="15" spans="1:22" ht="27.75" customHeight="1" thickBot="1" x14ac:dyDescent="0.3">
      <c r="B15" s="484"/>
      <c r="C15" s="485"/>
      <c r="D15" s="485"/>
      <c r="E15" s="485"/>
      <c r="F15" s="1152" t="s">
        <v>118</v>
      </c>
      <c r="G15" s="1153"/>
      <c r="H15" s="1154"/>
      <c r="I15" s="486" t="s">
        <v>30</v>
      </c>
      <c r="J15" s="487">
        <f>L10</f>
        <v>50.260199999999998</v>
      </c>
      <c r="K15" s="1155">
        <f>J15*$K$11</f>
        <v>502.60199999999998</v>
      </c>
      <c r="L15" s="1156"/>
      <c r="M15" s="308"/>
    </row>
    <row r="16" spans="1:22" ht="15.75" thickBot="1" x14ac:dyDescent="0.3">
      <c r="B16" s="70"/>
      <c r="C16" s="70"/>
      <c r="D16" s="70"/>
      <c r="E16" s="70"/>
      <c r="F16" s="142"/>
      <c r="M16" s="308"/>
    </row>
    <row r="17" spans="5:15" x14ac:dyDescent="0.25">
      <c r="G17" s="1159" t="s">
        <v>131</v>
      </c>
      <c r="H17" s="1160"/>
      <c r="I17" s="143" t="s">
        <v>29</v>
      </c>
      <c r="J17" s="475">
        <f>(J12+J13)/J18</f>
        <v>0.57531016907006383</v>
      </c>
      <c r="M17" s="308"/>
    </row>
    <row r="18" spans="5:15" x14ac:dyDescent="0.25">
      <c r="G18" s="1161" t="s">
        <v>127</v>
      </c>
      <c r="H18" s="1162"/>
      <c r="I18" s="61" t="s">
        <v>128</v>
      </c>
      <c r="J18" s="476">
        <v>7850</v>
      </c>
      <c r="M18" s="308"/>
      <c r="N18" s="71"/>
    </row>
    <row r="19" spans="5:15" ht="15.75" thickBot="1" x14ac:dyDescent="0.3">
      <c r="G19" s="1135" t="s">
        <v>132</v>
      </c>
      <c r="H19" s="1136"/>
      <c r="I19" s="144" t="s">
        <v>29</v>
      </c>
      <c r="J19" s="145">
        <f>J14-J17</f>
        <v>20.776052590929936</v>
      </c>
      <c r="K19" s="92"/>
      <c r="M19" s="308"/>
    </row>
    <row r="20" spans="5:15" x14ac:dyDescent="0.25">
      <c r="M20" s="308"/>
    </row>
    <row r="21" spans="5:15" x14ac:dyDescent="0.25">
      <c r="M21" s="308"/>
    </row>
    <row r="22" spans="5:15" x14ac:dyDescent="0.25">
      <c r="M22" s="308"/>
    </row>
    <row r="23" spans="5:15" x14ac:dyDescent="0.25">
      <c r="M23" s="308"/>
    </row>
    <row r="24" spans="5:15" x14ac:dyDescent="0.25">
      <c r="M24" s="308"/>
    </row>
    <row r="25" spans="5:15" x14ac:dyDescent="0.25">
      <c r="M25" s="308"/>
    </row>
    <row r="26" spans="5:15" x14ac:dyDescent="0.25">
      <c r="E26" s="8" t="s">
        <v>151</v>
      </c>
      <c r="F26" s="8" t="s">
        <v>166</v>
      </c>
      <c r="G26" s="1157" t="s">
        <v>121</v>
      </c>
      <c r="H26" s="1158"/>
      <c r="I26" s="1157" t="s">
        <v>153</v>
      </c>
      <c r="J26" s="1158"/>
      <c r="M26" s="308"/>
      <c r="N26" s="1137"/>
      <c r="O26" s="1137"/>
    </row>
    <row r="27" spans="5:15" x14ac:dyDescent="0.25">
      <c r="E27" s="457" t="s">
        <v>22</v>
      </c>
      <c r="F27" s="488">
        <v>36</v>
      </c>
      <c r="G27" s="1138">
        <f>G37+2</f>
        <v>32.841200000000001</v>
      </c>
      <c r="H27" s="1139"/>
      <c r="I27" s="1140">
        <f>(F27*G27)*G41</f>
        <v>932.82144480000011</v>
      </c>
      <c r="J27" s="1141"/>
      <c r="K27" s="92" t="s">
        <v>143</v>
      </c>
      <c r="M27" s="308"/>
    </row>
    <row r="28" spans="5:15" x14ac:dyDescent="0.25">
      <c r="M28" s="308"/>
    </row>
    <row r="29" spans="5:15" x14ac:dyDescent="0.25">
      <c r="M29" s="308"/>
    </row>
    <row r="30" spans="5:15" x14ac:dyDescent="0.25">
      <c r="M30" s="308"/>
    </row>
    <row r="31" spans="5:15" x14ac:dyDescent="0.25">
      <c r="E31" s="1"/>
      <c r="F31" s="1" t="s">
        <v>165</v>
      </c>
      <c r="G31" s="1" t="s">
        <v>157</v>
      </c>
      <c r="H31" s="1" t="s">
        <v>152</v>
      </c>
      <c r="M31" s="308"/>
    </row>
    <row r="32" spans="5:15" x14ac:dyDescent="0.25">
      <c r="E32" s="1" t="s">
        <v>158</v>
      </c>
      <c r="F32" s="1">
        <v>0.16969999999999999</v>
      </c>
      <c r="G32" s="1"/>
      <c r="H32" s="1">
        <f t="shared" ref="H32:H37" si="1">F32*G32</f>
        <v>0</v>
      </c>
      <c r="M32" s="308"/>
    </row>
    <row r="33" spans="5:13" x14ac:dyDescent="0.25">
      <c r="E33" s="1" t="s">
        <v>159</v>
      </c>
      <c r="F33" s="1">
        <v>0.23200000000000001</v>
      </c>
      <c r="G33" s="1"/>
      <c r="H33" s="1">
        <f t="shared" si="1"/>
        <v>0</v>
      </c>
      <c r="M33" s="308"/>
    </row>
    <row r="34" spans="5:13" x14ac:dyDescent="0.25">
      <c r="E34" s="1" t="s">
        <v>160</v>
      </c>
      <c r="F34" s="1">
        <v>0.36249999999999999</v>
      </c>
      <c r="G34" s="1"/>
      <c r="H34" s="1">
        <f t="shared" si="1"/>
        <v>0</v>
      </c>
      <c r="M34" s="308"/>
    </row>
    <row r="35" spans="5:13" x14ac:dyDescent="0.25">
      <c r="E35" s="1" t="s">
        <v>154</v>
      </c>
      <c r="F35" s="1">
        <v>0.49740000000000001</v>
      </c>
      <c r="G35" s="1"/>
      <c r="H35" s="1">
        <f t="shared" si="1"/>
        <v>0</v>
      </c>
      <c r="M35" s="308"/>
    </row>
    <row r="36" spans="5:13" x14ac:dyDescent="0.25">
      <c r="E36" s="1" t="s">
        <v>156</v>
      </c>
      <c r="F36" s="1">
        <v>0.64600000000000002</v>
      </c>
      <c r="G36" s="1"/>
      <c r="H36" s="1">
        <f t="shared" si="1"/>
        <v>0</v>
      </c>
      <c r="M36" s="308"/>
    </row>
    <row r="37" spans="5:13" x14ac:dyDescent="0.25">
      <c r="E37" s="72" t="s">
        <v>155</v>
      </c>
      <c r="F37" s="477">
        <v>0.69230000000000003</v>
      </c>
      <c r="G37" s="72">
        <v>30.841200000000001</v>
      </c>
      <c r="H37" s="83">
        <f t="shared" si="1"/>
        <v>21.351362760000001</v>
      </c>
      <c r="I37" s="92" t="s">
        <v>143</v>
      </c>
      <c r="M37" s="308"/>
    </row>
    <row r="38" spans="5:13" x14ac:dyDescent="0.25">
      <c r="M38" s="308"/>
    </row>
    <row r="39" spans="5:13" x14ac:dyDescent="0.25">
      <c r="M39" s="308"/>
    </row>
    <row r="40" spans="5:13" x14ac:dyDescent="0.25">
      <c r="F40" s="1" t="s">
        <v>164</v>
      </c>
      <c r="G40" s="1" t="s">
        <v>162</v>
      </c>
      <c r="M40" s="308"/>
    </row>
    <row r="41" spans="5:13" x14ac:dyDescent="0.25">
      <c r="F41" s="79" t="s">
        <v>161</v>
      </c>
      <c r="G41" s="1">
        <v>0.78900000000000003</v>
      </c>
      <c r="M41" s="308"/>
    </row>
    <row r="42" spans="5:13" x14ac:dyDescent="0.25">
      <c r="F42" s="1" t="s">
        <v>163</v>
      </c>
      <c r="G42" s="1">
        <v>2.11</v>
      </c>
      <c r="M42" s="308"/>
    </row>
  </sheetData>
  <mergeCells count="27">
    <mergeCell ref="N26:O26"/>
    <mergeCell ref="G27:H27"/>
    <mergeCell ref="I27:J27"/>
    <mergeCell ref="F11:H11"/>
    <mergeCell ref="F12:H12"/>
    <mergeCell ref="K12:L12"/>
    <mergeCell ref="F13:H13"/>
    <mergeCell ref="K13:L13"/>
    <mergeCell ref="F14:H14"/>
    <mergeCell ref="K14:L14"/>
    <mergeCell ref="F15:H15"/>
    <mergeCell ref="K15:L15"/>
    <mergeCell ref="G26:H26"/>
    <mergeCell ref="I26:J26"/>
    <mergeCell ref="G17:H17"/>
    <mergeCell ref="G18:H18"/>
    <mergeCell ref="G19:H19"/>
    <mergeCell ref="A1:L1"/>
    <mergeCell ref="A4:A10"/>
    <mergeCell ref="F4:G4"/>
    <mergeCell ref="F5:G5"/>
    <mergeCell ref="F6:G6"/>
    <mergeCell ref="F8:G8"/>
    <mergeCell ref="F9:G9"/>
    <mergeCell ref="B10:C10"/>
    <mergeCell ref="F10:G10"/>
    <mergeCell ref="F3:G3"/>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82"/>
  <sheetViews>
    <sheetView showGridLines="0" topLeftCell="C20" zoomScale="85" zoomScaleNormal="85" workbookViewId="0">
      <selection activeCell="L36" sqref="L36"/>
    </sheetView>
  </sheetViews>
  <sheetFormatPr baseColWidth="10" defaultRowHeight="15" x14ac:dyDescent="0.25"/>
  <cols>
    <col min="1" max="1" width="5.5703125" customWidth="1"/>
    <col min="2" max="2" width="9.7109375" customWidth="1"/>
    <col min="4" max="4" width="9.140625" customWidth="1"/>
    <col min="5" max="5" width="13.140625" customWidth="1"/>
    <col min="6" max="6" width="45.140625" customWidth="1"/>
    <col min="7" max="9" width="7.5703125" customWidth="1"/>
    <col min="10" max="10" width="8.85546875" customWidth="1"/>
    <col min="11" max="11" width="10.85546875" customWidth="1"/>
    <col min="12" max="12" width="11.42578125" customWidth="1"/>
    <col min="13" max="13" width="5.140625" style="92" customWidth="1"/>
    <col min="14" max="14" width="3.42578125" customWidth="1"/>
    <col min="15" max="15" width="15.85546875" customWidth="1"/>
    <col min="16" max="16" width="7.7109375" customWidth="1"/>
    <col min="17" max="17" width="8.85546875" customWidth="1"/>
  </cols>
  <sheetData>
    <row r="1" spans="1:21" ht="19.5" thickBot="1" x14ac:dyDescent="0.35">
      <c r="A1" s="1163" t="s">
        <v>356</v>
      </c>
      <c r="B1" s="1164"/>
      <c r="C1" s="1164"/>
      <c r="D1" s="1164"/>
      <c r="E1" s="1164"/>
      <c r="F1" s="1164"/>
      <c r="G1" s="1164"/>
      <c r="H1" s="1164"/>
      <c r="I1" s="1164"/>
      <c r="J1" s="1164"/>
      <c r="K1" s="1164"/>
      <c r="L1" s="1165"/>
    </row>
    <row r="2" spans="1:21" x14ac:dyDescent="0.25">
      <c r="A2" s="12"/>
      <c r="B2" s="10"/>
      <c r="C2" s="10"/>
      <c r="D2" s="10"/>
      <c r="E2" s="10"/>
      <c r="F2" s="10"/>
      <c r="G2" s="10"/>
      <c r="H2" s="10"/>
      <c r="I2" s="10"/>
      <c r="J2" s="10"/>
      <c r="K2" s="10"/>
      <c r="L2" s="13"/>
    </row>
    <row r="3" spans="1:21" ht="15.75" thickBot="1" x14ac:dyDescent="0.3">
      <c r="A3" s="493" t="s">
        <v>0</v>
      </c>
      <c r="B3" s="493" t="s">
        <v>1</v>
      </c>
      <c r="C3" s="493" t="s">
        <v>2</v>
      </c>
      <c r="D3" s="493" t="s">
        <v>3</v>
      </c>
      <c r="E3" s="493" t="s">
        <v>4</v>
      </c>
      <c r="F3" s="1239" t="s">
        <v>5</v>
      </c>
      <c r="G3" s="1240"/>
      <c r="H3" s="493" t="s">
        <v>7</v>
      </c>
      <c r="I3" s="493" t="s">
        <v>8</v>
      </c>
      <c r="J3" s="493" t="s">
        <v>28</v>
      </c>
      <c r="K3" s="494" t="s">
        <v>44</v>
      </c>
      <c r="L3" s="495" t="s">
        <v>9</v>
      </c>
      <c r="M3" s="327"/>
    </row>
    <row r="4" spans="1:21" ht="24.75" customHeight="1" thickBot="1" x14ac:dyDescent="0.3">
      <c r="A4" s="1238" t="s">
        <v>33</v>
      </c>
      <c r="B4" s="467" t="s">
        <v>255</v>
      </c>
      <c r="C4" s="469" t="s">
        <v>244</v>
      </c>
      <c r="D4" s="248">
        <f>(129*2)+(128*2)</f>
        <v>514</v>
      </c>
      <c r="E4" s="272">
        <f>H4+(I4*2)+(J4*2)</f>
        <v>1056</v>
      </c>
      <c r="F4" s="499"/>
      <c r="G4" s="499"/>
      <c r="H4" s="278">
        <f>1050-(2*5)-(2*VLOOKUP(C4,$Q$5:$U$11,4,FALSE))</f>
        <v>1028</v>
      </c>
      <c r="I4" s="249">
        <v>5</v>
      </c>
      <c r="J4" s="249">
        <f>VLOOKUP(C4,$Q$5:$U$11,5,FALSE)</f>
        <v>9</v>
      </c>
      <c r="K4" s="248"/>
      <c r="L4" s="104">
        <f>(E4/100)*D4*VLOOKUP(C4,$Q$5:$U$11,3,FALSE)</f>
        <v>8413.152</v>
      </c>
      <c r="M4" s="451" t="s">
        <v>43</v>
      </c>
      <c r="O4" t="s">
        <v>242</v>
      </c>
      <c r="Q4" s="238" t="s">
        <v>19</v>
      </c>
      <c r="R4" s="239" t="s">
        <v>20</v>
      </c>
      <c r="S4" s="239" t="s">
        <v>25</v>
      </c>
      <c r="T4" s="240" t="s">
        <v>311</v>
      </c>
      <c r="U4" s="241" t="s">
        <v>312</v>
      </c>
    </row>
    <row r="5" spans="1:21" ht="24.75" customHeight="1" thickBot="1" x14ac:dyDescent="0.3">
      <c r="A5" s="1167"/>
      <c r="B5" s="1181" t="s">
        <v>254</v>
      </c>
      <c r="C5" s="455" t="s">
        <v>244</v>
      </c>
      <c r="D5" s="459">
        <f>((24+23)+(25+23))</f>
        <v>95</v>
      </c>
      <c r="E5" s="537">
        <f>H5+(I5*2)+(J5*2)</f>
        <v>1029</v>
      </c>
      <c r="F5" s="377"/>
      <c r="G5" s="427" t="s">
        <v>31</v>
      </c>
      <c r="H5" s="280">
        <f>1029-(2*5)-(2*VLOOKUP(C5,$Q$5:$U$11,4,FALSE))</f>
        <v>1007</v>
      </c>
      <c r="I5" s="459">
        <v>5</v>
      </c>
      <c r="J5" s="459">
        <v>6</v>
      </c>
      <c r="K5" s="459"/>
      <c r="L5" s="461">
        <f>((((E5+E6)/2)/100)*D5*VLOOKUP(C5,$Q$5:$U$11,3,FALSE))*O5</f>
        <v>1557.905</v>
      </c>
      <c r="M5" s="451" t="s">
        <v>43</v>
      </c>
      <c r="O5" s="148">
        <v>2</v>
      </c>
      <c r="Q5" s="235" t="s">
        <v>243</v>
      </c>
      <c r="R5" s="236" t="s">
        <v>21</v>
      </c>
      <c r="S5" s="262">
        <v>0.55700000000000005</v>
      </c>
      <c r="T5" s="237">
        <f>ROUNDUP((3/8*2.54*3.5),0)</f>
        <v>4</v>
      </c>
      <c r="U5" s="260">
        <f>ROUND(+PI()*T5*2/4,0)</f>
        <v>6</v>
      </c>
    </row>
    <row r="6" spans="1:21" ht="24.75" customHeight="1" thickBot="1" x14ac:dyDescent="0.3">
      <c r="A6" s="1167"/>
      <c r="B6" s="1181"/>
      <c r="C6" s="1018"/>
      <c r="D6" s="1018"/>
      <c r="E6" s="537">
        <f>H6+(I6*2)+(J6*2)</f>
        <v>29</v>
      </c>
      <c r="F6" s="377"/>
      <c r="G6" s="427" t="s">
        <v>32</v>
      </c>
      <c r="H6" s="280">
        <f>19-(2*VLOOKUP(C5,$Q$5:$U$11,4,FALSE))</f>
        <v>7</v>
      </c>
      <c r="I6" s="459">
        <v>5</v>
      </c>
      <c r="J6" s="459">
        <v>6</v>
      </c>
      <c r="K6" s="459"/>
      <c r="L6" s="461"/>
      <c r="M6" s="451"/>
      <c r="Q6" s="452" t="s">
        <v>18</v>
      </c>
      <c r="R6" s="220" t="s">
        <v>22</v>
      </c>
      <c r="S6" s="263">
        <v>0.996</v>
      </c>
      <c r="T6" s="450">
        <f>ROUNDUP((4/8*2.54*3.5),0)</f>
        <v>5</v>
      </c>
      <c r="U6" s="259">
        <f t="shared" ref="U6:U11" si="0">ROUND(+PI()*T6*2/4,0)</f>
        <v>8</v>
      </c>
    </row>
    <row r="7" spans="1:21" ht="24.75" customHeight="1" thickBot="1" x14ac:dyDescent="0.3">
      <c r="A7" s="1167"/>
      <c r="B7" s="1181"/>
      <c r="C7" s="1018" t="str">
        <f>CONCATENATE(O5," juegos de ",D5," vars.")</f>
        <v>2 juegos de 95 vars.</v>
      </c>
      <c r="D7" s="1018"/>
      <c r="E7" s="1019"/>
      <c r="F7" s="377"/>
      <c r="G7" s="427" t="s">
        <v>88</v>
      </c>
      <c r="H7" s="439">
        <f>(H5-H6)/(D5-1)</f>
        <v>10.638297872340425</v>
      </c>
      <c r="I7" s="459"/>
      <c r="J7" s="459"/>
      <c r="K7" s="459"/>
      <c r="L7" s="461"/>
      <c r="M7" s="451"/>
      <c r="Q7" s="453" t="s">
        <v>244</v>
      </c>
      <c r="R7" s="231" t="s">
        <v>23</v>
      </c>
      <c r="S7" s="262">
        <v>1.55</v>
      </c>
      <c r="T7" s="232">
        <f>ROUNDUP((5/8*2.54*3.5),0)</f>
        <v>6</v>
      </c>
      <c r="U7" s="261">
        <f t="shared" si="0"/>
        <v>9</v>
      </c>
    </row>
    <row r="8" spans="1:21" ht="24.75" customHeight="1" thickBot="1" x14ac:dyDescent="0.3">
      <c r="A8" s="1167"/>
      <c r="B8" s="471" t="s">
        <v>140</v>
      </c>
      <c r="C8" s="455" t="s">
        <v>18</v>
      </c>
      <c r="D8" s="459">
        <f>44*2</f>
        <v>88</v>
      </c>
      <c r="E8" s="537">
        <f>H8+(I8*2)+(J8*2)</f>
        <v>300</v>
      </c>
      <c r="F8" s="377"/>
      <c r="G8" s="323"/>
      <c r="H8" s="471">
        <v>300</v>
      </c>
      <c r="I8" s="455"/>
      <c r="J8" s="455"/>
      <c r="K8" s="459"/>
      <c r="L8" s="461">
        <f>(E8/100)*D8*VLOOKUP(C8,$Q$5:$U$11,3,FALSE)</f>
        <v>262.94400000000002</v>
      </c>
      <c r="M8" s="451" t="s">
        <v>43</v>
      </c>
      <c r="Q8" s="452" t="s">
        <v>17</v>
      </c>
      <c r="R8" s="220" t="s">
        <v>24</v>
      </c>
      <c r="S8" s="263">
        <v>2.2349999999999999</v>
      </c>
      <c r="T8" s="450">
        <f>ROUNDUP((6/8*2.54*3.5),0)</f>
        <v>7</v>
      </c>
      <c r="U8" s="259">
        <f t="shared" si="0"/>
        <v>11</v>
      </c>
    </row>
    <row r="9" spans="1:21" ht="24.75" customHeight="1" thickBot="1" x14ac:dyDescent="0.3">
      <c r="A9" s="1167"/>
      <c r="B9" s="471" t="s">
        <v>263</v>
      </c>
      <c r="C9" s="455" t="s">
        <v>18</v>
      </c>
      <c r="D9" s="459">
        <f>(49*2)+(47*2)</f>
        <v>192</v>
      </c>
      <c r="E9" s="537">
        <f>H9+(I9*2)+(J9*2)</f>
        <v>3094.27</v>
      </c>
      <c r="F9" s="377"/>
      <c r="G9" s="252"/>
      <c r="H9" s="280">
        <f>3088.27-(2*5)-(2*VLOOKUP(C9,$Q$5:$U$11,4,FALSE))</f>
        <v>3068.27</v>
      </c>
      <c r="I9" s="455">
        <v>5</v>
      </c>
      <c r="J9" s="226">
        <f>VLOOKUP(C9,$Q$5:$U$11,5,FALSE)</f>
        <v>8</v>
      </c>
      <c r="K9" s="459"/>
      <c r="L9" s="461">
        <f>(E9/100)*D9*VLOOKUP(C9,$Q$5:$U$11,3,FALSE)</f>
        <v>5917.2344063999999</v>
      </c>
      <c r="M9" s="451" t="s">
        <v>43</v>
      </c>
      <c r="O9" t="s">
        <v>242</v>
      </c>
      <c r="Q9" s="453" t="s">
        <v>16</v>
      </c>
      <c r="R9" s="233">
        <v>1</v>
      </c>
      <c r="S9" s="262">
        <v>3.99</v>
      </c>
      <c r="T9" s="232">
        <f>ROUNDUP((8/8*2.54*3.5),0)</f>
        <v>9</v>
      </c>
      <c r="U9" s="260">
        <f t="shared" si="0"/>
        <v>14</v>
      </c>
    </row>
    <row r="10" spans="1:21" ht="24.75" customHeight="1" thickBot="1" x14ac:dyDescent="0.3">
      <c r="A10" s="1167"/>
      <c r="B10" s="1181" t="s">
        <v>270</v>
      </c>
      <c r="C10" s="459" t="s">
        <v>18</v>
      </c>
      <c r="D10" s="459">
        <v>17</v>
      </c>
      <c r="E10" s="537">
        <f>H10+(I10*2)+(J10*2)</f>
        <v>2928</v>
      </c>
      <c r="F10" s="377"/>
      <c r="G10" s="427" t="s">
        <v>31</v>
      </c>
      <c r="H10" s="280">
        <f>2912-(2*VLOOKUP(C10,$Q$5:$U$11,4,FALSE))</f>
        <v>2902</v>
      </c>
      <c r="I10" s="459">
        <v>5</v>
      </c>
      <c r="J10" s="226">
        <f>VLOOKUP(C10,$Q$5:$U$11,5,FALSE)</f>
        <v>8</v>
      </c>
      <c r="K10" s="459"/>
      <c r="L10" s="461">
        <f>((((E10+E11)/2)/100)*D10*VLOOKUP(C10,$Q$5:$U$11,3,FALSE))*O10</f>
        <v>513.03960000000006</v>
      </c>
      <c r="M10" s="451" t="s">
        <v>43</v>
      </c>
      <c r="O10" s="148">
        <v>2</v>
      </c>
      <c r="Q10" s="452" t="s">
        <v>290</v>
      </c>
      <c r="R10" s="221">
        <v>1.25</v>
      </c>
      <c r="S10" s="263">
        <v>6.2249999999999996</v>
      </c>
      <c r="T10" s="450">
        <f>ROUNDUP((10/8*2.54*3.5),0)</f>
        <v>12</v>
      </c>
      <c r="U10" s="259">
        <f t="shared" si="0"/>
        <v>19</v>
      </c>
    </row>
    <row r="11" spans="1:21" ht="24.75" customHeight="1" thickBot="1" x14ac:dyDescent="0.3">
      <c r="A11" s="1167"/>
      <c r="B11" s="1181"/>
      <c r="C11" s="1018"/>
      <c r="D11" s="1018"/>
      <c r="E11" s="537">
        <f>H11+(I11*2)+(J11*2)</f>
        <v>102</v>
      </c>
      <c r="F11" s="377"/>
      <c r="G11" s="427" t="s">
        <v>32</v>
      </c>
      <c r="H11" s="280">
        <f>86-(2*VLOOKUP(C10,$Q$5:$U$11,4,FALSE))</f>
        <v>76</v>
      </c>
      <c r="I11" s="459">
        <v>5</v>
      </c>
      <c r="J11" s="226">
        <f>VLOOKUP(C10,$Q$5:$U$11,5,FALSE)</f>
        <v>8</v>
      </c>
      <c r="K11" s="459"/>
      <c r="L11" s="461"/>
      <c r="M11" s="451"/>
      <c r="Q11" s="453" t="s">
        <v>286</v>
      </c>
      <c r="R11" s="234">
        <v>1.5</v>
      </c>
      <c r="S11" s="262">
        <v>8.9380000000000006</v>
      </c>
      <c r="T11" s="232">
        <f>ROUNDUP((12/8*2.54*3.5),0)</f>
        <v>14</v>
      </c>
      <c r="U11" s="258">
        <f t="shared" si="0"/>
        <v>22</v>
      </c>
    </row>
    <row r="12" spans="1:21" ht="24.75" customHeight="1" x14ac:dyDescent="0.25">
      <c r="A12" s="1167"/>
      <c r="B12" s="1181"/>
      <c r="C12" s="1018" t="str">
        <f>CONCATENATE(O10," juegos de ",D10," vars.")</f>
        <v>2 juegos de 17 vars.</v>
      </c>
      <c r="D12" s="1018"/>
      <c r="E12" s="1019"/>
      <c r="F12" s="377"/>
      <c r="G12" s="427" t="s">
        <v>88</v>
      </c>
      <c r="H12" s="439">
        <f>(H10-H11)/(D10-1)</f>
        <v>176.625</v>
      </c>
      <c r="I12" s="459"/>
      <c r="J12" s="459"/>
      <c r="K12" s="459"/>
      <c r="L12" s="461"/>
      <c r="M12" s="451"/>
      <c r="R12" s="11"/>
      <c r="S12" s="379"/>
      <c r="T12" s="11"/>
    </row>
    <row r="13" spans="1:21" ht="24.75" customHeight="1" x14ac:dyDescent="0.25">
      <c r="A13" s="1167"/>
      <c r="B13" s="471" t="s">
        <v>12</v>
      </c>
      <c r="C13" s="455" t="s">
        <v>18</v>
      </c>
      <c r="D13" s="459">
        <f>(8*4)*2</f>
        <v>64</v>
      </c>
      <c r="E13" s="537">
        <f>H13+(I13*2)+(J13*2)</f>
        <v>225</v>
      </c>
      <c r="F13" s="377"/>
      <c r="G13" s="377"/>
      <c r="H13" s="471">
        <v>225</v>
      </c>
      <c r="I13" s="455"/>
      <c r="J13" s="455"/>
      <c r="K13" s="459"/>
      <c r="L13" s="461">
        <f t="shared" ref="L13:L21" si="1">(E13/100)*D13*VLOOKUP(C13,$Q$5:$U$11,3,FALSE)</f>
        <v>143.42400000000001</v>
      </c>
      <c r="M13" s="451" t="s">
        <v>43</v>
      </c>
      <c r="R13" s="11"/>
      <c r="S13" s="379"/>
      <c r="T13" s="11"/>
    </row>
    <row r="14" spans="1:21" ht="24.75" customHeight="1" thickBot="1" x14ac:dyDescent="0.3">
      <c r="A14" s="1169"/>
      <c r="B14" s="497" t="s">
        <v>13</v>
      </c>
      <c r="C14" s="498" t="s">
        <v>18</v>
      </c>
      <c r="D14" s="159">
        <f>(8*4)*2</f>
        <v>64</v>
      </c>
      <c r="E14" s="165">
        <f>H14+(I14*2)+(J14*2)</f>
        <v>175</v>
      </c>
      <c r="F14" s="500"/>
      <c r="G14" s="500"/>
      <c r="H14" s="497">
        <v>175</v>
      </c>
      <c r="I14" s="164"/>
      <c r="J14" s="164"/>
      <c r="K14" s="159"/>
      <c r="L14" s="108">
        <f t="shared" si="1"/>
        <v>111.55199999999999</v>
      </c>
      <c r="M14" s="451" t="s">
        <v>43</v>
      </c>
      <c r="R14" s="496">
        <v>3075</v>
      </c>
      <c r="S14" s="78"/>
      <c r="T14" s="78"/>
    </row>
    <row r="15" spans="1:21" ht="45.75" customHeight="1" x14ac:dyDescent="0.25">
      <c r="A15" s="1241" t="s">
        <v>106</v>
      </c>
      <c r="B15" s="467" t="s">
        <v>37</v>
      </c>
      <c r="C15" s="468" t="s">
        <v>18</v>
      </c>
      <c r="D15" s="248">
        <f>((6*2)*8)*4</f>
        <v>384</v>
      </c>
      <c r="E15" s="272">
        <f>H15</f>
        <v>193</v>
      </c>
      <c r="F15" s="1244"/>
      <c r="G15" s="1244"/>
      <c r="H15" s="467">
        <v>193</v>
      </c>
      <c r="I15" s="469"/>
      <c r="J15" s="469"/>
      <c r="K15" s="469"/>
      <c r="L15" s="104">
        <f t="shared" si="1"/>
        <v>738.15552000000002</v>
      </c>
      <c r="M15" s="456" t="s">
        <v>43</v>
      </c>
    </row>
    <row r="16" spans="1:21" ht="45.75" customHeight="1" x14ac:dyDescent="0.25">
      <c r="A16" s="1242"/>
      <c r="B16" s="471" t="s">
        <v>38</v>
      </c>
      <c r="C16" s="146" t="s">
        <v>18</v>
      </c>
      <c r="D16" s="459">
        <f>(2*8)*4</f>
        <v>64</v>
      </c>
      <c r="E16" s="537">
        <f>H16</f>
        <v>134</v>
      </c>
      <c r="F16" s="1245"/>
      <c r="G16" s="1245"/>
      <c r="H16" s="471">
        <v>134</v>
      </c>
      <c r="I16" s="455"/>
      <c r="J16" s="455"/>
      <c r="K16" s="455"/>
      <c r="L16" s="461">
        <f t="shared" si="1"/>
        <v>85.416960000000003</v>
      </c>
      <c r="M16" s="456" t="s">
        <v>43</v>
      </c>
    </row>
    <row r="17" spans="1:17" ht="127.5" customHeight="1" x14ac:dyDescent="0.25">
      <c r="A17" s="1242"/>
      <c r="B17" s="471" t="s">
        <v>262</v>
      </c>
      <c r="C17" s="146" t="s">
        <v>18</v>
      </c>
      <c r="D17" s="459">
        <f>(5*8)*2</f>
        <v>80</v>
      </c>
      <c r="E17" s="537">
        <f>(H17*2)+(I17*2)+(J17*4)+K17</f>
        <v>530</v>
      </c>
      <c r="F17" s="1233"/>
      <c r="G17" s="1233"/>
      <c r="H17" s="471">
        <f>170-(2*VLOOKUP(C17,$Q$5:$U$11,4,FALSE))</f>
        <v>160</v>
      </c>
      <c r="I17" s="455">
        <f>24-(2*VLOOKUP(C17,$Q$5:$U$11,4,FALSE))</f>
        <v>14</v>
      </c>
      <c r="J17" s="226">
        <f>VLOOKUP(C17,$Q$5:$U$11,5,FALSE)</f>
        <v>8</v>
      </c>
      <c r="K17" s="455">
        <v>150</v>
      </c>
      <c r="L17" s="461">
        <f t="shared" si="1"/>
        <v>422.30399999999997</v>
      </c>
      <c r="M17" s="456" t="s">
        <v>43</v>
      </c>
      <c r="N17" s="448"/>
    </row>
    <row r="18" spans="1:17" ht="127.5" customHeight="1" x14ac:dyDescent="0.25">
      <c r="A18" s="1242"/>
      <c r="B18" s="471" t="s">
        <v>35</v>
      </c>
      <c r="C18" s="146" t="s">
        <v>18</v>
      </c>
      <c r="D18" s="459">
        <f>(5*8)*2</f>
        <v>80</v>
      </c>
      <c r="E18" s="537">
        <f>(H18*2)+(I18*2)+(J18*4)+(K18*2)</f>
        <v>480</v>
      </c>
      <c r="F18" s="1233"/>
      <c r="G18" s="1233"/>
      <c r="H18" s="471">
        <f>170-(2*VLOOKUP(C18,$Q$5:$U$11,4,FALSE))</f>
        <v>160</v>
      </c>
      <c r="I18" s="455">
        <f>24-(2*VLOOKUP(C18,$Q$5:$U$11,4,FALSE))</f>
        <v>14</v>
      </c>
      <c r="J18" s="226">
        <f>VLOOKUP(C18,$Q$5:$U$11,5,FALSE)</f>
        <v>8</v>
      </c>
      <c r="K18" s="455">
        <v>50</v>
      </c>
      <c r="L18" s="461">
        <f t="shared" si="1"/>
        <v>382.464</v>
      </c>
      <c r="M18" s="456" t="s">
        <v>43</v>
      </c>
    </row>
    <row r="19" spans="1:17" ht="127.5" customHeight="1" x14ac:dyDescent="0.25">
      <c r="A19" s="1242"/>
      <c r="B19" s="471" t="s">
        <v>36</v>
      </c>
      <c r="C19" s="146" t="s">
        <v>18</v>
      </c>
      <c r="D19" s="459">
        <f>(4*8)*4</f>
        <v>128</v>
      </c>
      <c r="E19" s="537">
        <f>(H19*2)+(I19*2)+(J19*5)+(K19*2)</f>
        <v>334</v>
      </c>
      <c r="F19" s="492"/>
      <c r="G19" s="492"/>
      <c r="H19" s="471">
        <f>((129+142+132+129)/4)-(2*VLOOKUP(C17,$Q$5:$U$11,4,FALSE))</f>
        <v>123</v>
      </c>
      <c r="I19" s="455">
        <f>24-(2*VLOOKUP(C19,$Q$5:$U$11,4,FALSE))</f>
        <v>14</v>
      </c>
      <c r="J19" s="226">
        <f>VLOOKUP(C19,$Q$5:$U$11,5,FALSE)</f>
        <v>8</v>
      </c>
      <c r="K19" s="455">
        <v>10</v>
      </c>
      <c r="L19" s="461">
        <f t="shared" si="1"/>
        <v>425.80991999999998</v>
      </c>
      <c r="M19" s="456" t="s">
        <v>43</v>
      </c>
    </row>
    <row r="20" spans="1:17" ht="95.25" customHeight="1" thickBot="1" x14ac:dyDescent="0.3">
      <c r="A20" s="1242"/>
      <c r="B20" s="497" t="s">
        <v>15</v>
      </c>
      <c r="C20" s="498" t="s">
        <v>18</v>
      </c>
      <c r="D20" s="159">
        <f>(2*8)*4</f>
        <v>64</v>
      </c>
      <c r="E20" s="165">
        <f>H20+(I20*2)+29+39+4+5+3+4</f>
        <v>437</v>
      </c>
      <c r="F20" s="1233"/>
      <c r="G20" s="1233"/>
      <c r="H20" s="497">
        <v>149</v>
      </c>
      <c r="I20" s="164">
        <v>102</v>
      </c>
      <c r="J20" s="283">
        <f>VLOOKUP(C20,$Q$5:$U$11,5,FALSE)</f>
        <v>8</v>
      </c>
      <c r="K20" s="164"/>
      <c r="L20" s="108">
        <f t="shared" si="1"/>
        <v>278.56128000000001</v>
      </c>
      <c r="M20" s="456" t="s">
        <v>43</v>
      </c>
    </row>
    <row r="21" spans="1:17" ht="91.5" customHeight="1" thickBot="1" x14ac:dyDescent="0.3">
      <c r="A21" s="1243"/>
      <c r="B21" s="501" t="s">
        <v>34</v>
      </c>
      <c r="C21" s="502" t="s">
        <v>17</v>
      </c>
      <c r="D21" s="503">
        <f>(4*2)*4</f>
        <v>32</v>
      </c>
      <c r="E21" s="554">
        <f>H21+I21*2</f>
        <v>940</v>
      </c>
      <c r="F21" s="466"/>
      <c r="G21" s="466"/>
      <c r="H21" s="504">
        <v>910</v>
      </c>
      <c r="I21" s="502">
        <v>15</v>
      </c>
      <c r="J21" s="502"/>
      <c r="K21" s="502"/>
      <c r="L21" s="505">
        <f t="shared" si="1"/>
        <v>672.28800000000001</v>
      </c>
      <c r="M21" s="456" t="s">
        <v>43</v>
      </c>
    </row>
    <row r="22" spans="1:17" ht="22.5" customHeight="1" thickBot="1" x14ac:dyDescent="0.3">
      <c r="A22" s="160"/>
      <c r="B22" s="161"/>
      <c r="C22" s="162"/>
      <c r="D22" s="162"/>
      <c r="E22" s="162"/>
      <c r="F22" s="1185" t="s">
        <v>120</v>
      </c>
      <c r="G22" s="1186"/>
      <c r="H22" s="1187"/>
      <c r="I22" s="1187"/>
      <c r="J22" s="1187"/>
      <c r="K22" s="1188"/>
      <c r="L22" s="163"/>
      <c r="M22" s="456"/>
    </row>
    <row r="23" spans="1:17" ht="22.5" customHeight="1" x14ac:dyDescent="0.25">
      <c r="A23" s="19"/>
      <c r="B23" s="1189"/>
      <c r="C23" s="1190"/>
      <c r="D23" s="1190"/>
      <c r="E23" s="1190"/>
      <c r="F23" s="1206" t="s">
        <v>80</v>
      </c>
      <c r="G23" s="1207"/>
      <c r="H23" s="1208"/>
      <c r="I23" s="1234" t="s">
        <v>51</v>
      </c>
      <c r="J23" s="1235"/>
      <c r="K23" s="104" t="s">
        <v>52</v>
      </c>
      <c r="L23" s="105"/>
      <c r="M23" s="456"/>
    </row>
    <row r="24" spans="1:17" x14ac:dyDescent="0.25">
      <c r="A24" s="14"/>
      <c r="B24" s="928"/>
      <c r="C24" s="929"/>
      <c r="D24" s="929"/>
      <c r="E24" s="929"/>
      <c r="F24" s="1228" t="s">
        <v>107</v>
      </c>
      <c r="G24" s="1229"/>
      <c r="H24" s="1230"/>
      <c r="I24" s="1209" t="s">
        <v>30</v>
      </c>
      <c r="J24" s="1210"/>
      <c r="K24" s="542">
        <f>SUM(L4:L20)</f>
        <v>19251.962686399998</v>
      </c>
      <c r="L24" s="107"/>
      <c r="M24" s="456" t="s">
        <v>43</v>
      </c>
      <c r="O24" s="23"/>
    </row>
    <row r="25" spans="1:17" ht="15.75" thickBot="1" x14ac:dyDescent="0.3">
      <c r="A25" s="18"/>
      <c r="B25" s="964"/>
      <c r="C25" s="965"/>
      <c r="D25" s="965"/>
      <c r="E25" s="965"/>
      <c r="F25" s="1225" t="s">
        <v>298</v>
      </c>
      <c r="G25" s="1226"/>
      <c r="H25" s="1227"/>
      <c r="I25" s="1209"/>
      <c r="J25" s="1210"/>
      <c r="K25" s="542"/>
      <c r="L25" s="107"/>
      <c r="M25" s="456"/>
    </row>
    <row r="26" spans="1:17" x14ac:dyDescent="0.25">
      <c r="A26" s="17"/>
      <c r="B26" s="928"/>
      <c r="C26" s="929"/>
      <c r="D26" s="929"/>
      <c r="E26" s="929"/>
      <c r="F26" s="1220" t="s">
        <v>107</v>
      </c>
      <c r="G26" s="1221"/>
      <c r="H26" s="1222"/>
      <c r="I26" s="1209" t="s">
        <v>29</v>
      </c>
      <c r="J26" s="1210"/>
      <c r="K26" s="542">
        <f>G45</f>
        <v>144.54933</v>
      </c>
      <c r="L26" s="107"/>
      <c r="M26" s="456"/>
      <c r="Q26" t="s">
        <v>102</v>
      </c>
    </row>
    <row r="27" spans="1:17" x14ac:dyDescent="0.25">
      <c r="A27" s="17"/>
      <c r="B27" s="1223"/>
      <c r="C27" s="1224"/>
      <c r="D27" s="1224"/>
      <c r="E27" s="1224"/>
      <c r="F27" s="1220" t="s">
        <v>115</v>
      </c>
      <c r="G27" s="1221"/>
      <c r="H27" s="1222"/>
      <c r="I27" s="1209" t="s">
        <v>30</v>
      </c>
      <c r="J27" s="1210"/>
      <c r="K27" s="543">
        <f>$L$21</f>
        <v>672.28800000000001</v>
      </c>
      <c r="L27" s="107"/>
      <c r="M27" s="456" t="s">
        <v>43</v>
      </c>
    </row>
    <row r="28" spans="1:17" x14ac:dyDescent="0.25">
      <c r="A28" s="17"/>
      <c r="B28" s="928"/>
      <c r="C28" s="929"/>
      <c r="D28" s="929"/>
      <c r="E28" s="929"/>
      <c r="F28" s="1220" t="s">
        <v>108</v>
      </c>
      <c r="G28" s="1221"/>
      <c r="H28" s="1222"/>
      <c r="I28" s="1209" t="s">
        <v>30</v>
      </c>
      <c r="J28" s="1210"/>
      <c r="K28" s="542">
        <f>(L38*O38)+(L40*O40)</f>
        <v>275.2</v>
      </c>
      <c r="L28" s="107"/>
      <c r="M28" s="456" t="s">
        <v>43</v>
      </c>
    </row>
    <row r="29" spans="1:17" x14ac:dyDescent="0.25">
      <c r="A29" s="17"/>
      <c r="B29" s="928"/>
      <c r="C29" s="929"/>
      <c r="D29" s="929"/>
      <c r="E29" s="929"/>
      <c r="F29" s="1220" t="s">
        <v>74</v>
      </c>
      <c r="G29" s="1221"/>
      <c r="H29" s="1222"/>
      <c r="I29" s="1209" t="s">
        <v>29</v>
      </c>
      <c r="J29" s="1210"/>
      <c r="K29" s="542">
        <f>G38</f>
        <v>25.73338</v>
      </c>
      <c r="L29" s="107"/>
      <c r="M29" s="456" t="s">
        <v>43</v>
      </c>
    </row>
    <row r="30" spans="1:17" ht="15.75" thickBot="1" x14ac:dyDescent="0.3">
      <c r="A30" s="17"/>
      <c r="B30" s="1020"/>
      <c r="C30" s="1021"/>
      <c r="D30" s="1021"/>
      <c r="E30" s="1021"/>
      <c r="F30" s="1211" t="s">
        <v>348</v>
      </c>
      <c r="G30" s="1212"/>
      <c r="H30" s="1213"/>
      <c r="I30" s="1199" t="s">
        <v>45</v>
      </c>
      <c r="J30" s="1200"/>
      <c r="K30" s="544">
        <f>F51</f>
        <v>128</v>
      </c>
      <c r="L30" s="107"/>
      <c r="M30" s="456" t="s">
        <v>43</v>
      </c>
    </row>
    <row r="31" spans="1:17" ht="15.75" thickBot="1" x14ac:dyDescent="0.3">
      <c r="A31" s="17"/>
      <c r="B31" s="17"/>
      <c r="C31" s="17"/>
      <c r="D31" s="17"/>
      <c r="E31" s="17"/>
      <c r="L31" s="17"/>
    </row>
    <row r="32" spans="1:17" ht="15.75" thickBot="1" x14ac:dyDescent="0.3">
      <c r="A32" s="17"/>
      <c r="B32" s="17"/>
      <c r="C32" s="17"/>
      <c r="D32" s="17"/>
      <c r="E32" s="17"/>
      <c r="F32" s="1039" t="s">
        <v>129</v>
      </c>
      <c r="G32" s="1217"/>
      <c r="H32" s="1040"/>
      <c r="I32" s="1231" t="s">
        <v>29</v>
      </c>
      <c r="J32" s="1232"/>
      <c r="K32" s="139">
        <f>(K24/K33)</f>
        <v>2.45247932310828</v>
      </c>
      <c r="L32" s="17"/>
    </row>
    <row r="33" spans="1:15" ht="15.75" thickBot="1" x14ac:dyDescent="0.3">
      <c r="A33" s="17"/>
      <c r="B33" s="17"/>
      <c r="C33" s="17"/>
      <c r="D33" s="17"/>
      <c r="E33" s="17"/>
      <c r="F33" s="140" t="s">
        <v>130</v>
      </c>
      <c r="G33" s="133"/>
      <c r="H33" s="134"/>
      <c r="I33" s="131" t="s">
        <v>128</v>
      </c>
      <c r="J33" s="132"/>
      <c r="K33" s="53">
        <v>7850</v>
      </c>
      <c r="L33" s="17"/>
    </row>
    <row r="36" spans="1:15" ht="15.75" thickBot="1" x14ac:dyDescent="0.3"/>
    <row r="37" spans="1:15" ht="21.75" customHeight="1" x14ac:dyDescent="0.25">
      <c r="C37" s="510" t="s">
        <v>81</v>
      </c>
      <c r="D37" s="511"/>
      <c r="E37" s="511" t="s">
        <v>40</v>
      </c>
      <c r="F37" s="511" t="s">
        <v>83</v>
      </c>
      <c r="G37" s="508" t="s">
        <v>285</v>
      </c>
      <c r="H37" s="308"/>
      <c r="K37" s="1077" t="s">
        <v>251</v>
      </c>
      <c r="L37" s="1077"/>
      <c r="M37" s="1077"/>
      <c r="N37" s="1078"/>
      <c r="O37" s="1" t="s">
        <v>253</v>
      </c>
    </row>
    <row r="38" spans="1:15" ht="21.75" customHeight="1" x14ac:dyDescent="0.25">
      <c r="B38" s="308" t="s">
        <v>346</v>
      </c>
      <c r="C38" s="1214">
        <v>0.04</v>
      </c>
      <c r="D38" s="506"/>
      <c r="E38" s="506">
        <v>322.83240000000001</v>
      </c>
      <c r="F38" s="506">
        <f>E38*$C$38</f>
        <v>12.913296000000001</v>
      </c>
      <c r="G38" s="1218">
        <f>F38+F39</f>
        <v>25.73338</v>
      </c>
      <c r="H38" s="925" t="s">
        <v>43</v>
      </c>
      <c r="L38" s="1">
        <v>5.6</v>
      </c>
      <c r="M38" s="541"/>
      <c r="N38" s="1"/>
      <c r="O38" s="1">
        <f>(2*4)*4</f>
        <v>32</v>
      </c>
    </row>
    <row r="39" spans="1:15" ht="21.75" customHeight="1" thickBot="1" x14ac:dyDescent="0.3">
      <c r="B39" s="308" t="s">
        <v>347</v>
      </c>
      <c r="C39" s="1215"/>
      <c r="D39" s="507"/>
      <c r="E39" s="507">
        <v>320.50209999999998</v>
      </c>
      <c r="F39" s="506">
        <f>E39*$C$38</f>
        <v>12.820084</v>
      </c>
      <c r="G39" s="1219"/>
      <c r="H39" s="925"/>
      <c r="K39" s="1236" t="s">
        <v>252</v>
      </c>
      <c r="L39" s="1236"/>
      <c r="M39" s="1236"/>
      <c r="N39" s="1237"/>
      <c r="O39" s="1"/>
    </row>
    <row r="40" spans="1:15" ht="21.75" customHeight="1" x14ac:dyDescent="0.25">
      <c r="B40" s="308"/>
      <c r="C40" s="510" t="s">
        <v>81</v>
      </c>
      <c r="D40" s="511"/>
      <c r="E40" s="511" t="s">
        <v>40</v>
      </c>
      <c r="F40" s="511" t="s">
        <v>141</v>
      </c>
      <c r="G40" s="509"/>
      <c r="H40" s="308"/>
      <c r="L40" s="1">
        <v>1.5</v>
      </c>
      <c r="M40" s="541"/>
      <c r="N40" s="1"/>
      <c r="O40" s="1">
        <f>(4*4)*4</f>
        <v>64</v>
      </c>
    </row>
    <row r="41" spans="1:15" ht="21.75" customHeight="1" x14ac:dyDescent="0.25">
      <c r="B41" s="308" t="s">
        <v>346</v>
      </c>
      <c r="C41" s="1214">
        <v>0.18</v>
      </c>
      <c r="D41" s="506"/>
      <c r="E41" s="506">
        <v>322.83240000000001</v>
      </c>
      <c r="F41" s="506">
        <f>E41*$C$41</f>
        <v>58.109831999999997</v>
      </c>
      <c r="G41" s="1218">
        <f>F41+F42</f>
        <v>115.80020999999999</v>
      </c>
      <c r="H41" s="1216"/>
    </row>
    <row r="42" spans="1:15" ht="21.75" customHeight="1" thickBot="1" x14ac:dyDescent="0.3">
      <c r="B42" s="308" t="s">
        <v>347</v>
      </c>
      <c r="C42" s="1215"/>
      <c r="D42" s="507"/>
      <c r="E42" s="507">
        <v>320.50209999999998</v>
      </c>
      <c r="F42" s="506">
        <f>E42*$C$41</f>
        <v>57.690377999999995</v>
      </c>
      <c r="G42" s="1219"/>
      <c r="H42" s="925"/>
    </row>
    <row r="43" spans="1:15" ht="21.75" customHeight="1" thickBot="1" x14ac:dyDescent="0.3">
      <c r="B43" s="308"/>
      <c r="C43" s="512" t="s">
        <v>81</v>
      </c>
      <c r="D43" s="513" t="s">
        <v>40</v>
      </c>
      <c r="E43" s="513" t="s">
        <v>97</v>
      </c>
      <c r="F43" s="513" t="s">
        <v>142</v>
      </c>
      <c r="G43" s="514"/>
      <c r="H43" s="925"/>
    </row>
    <row r="44" spans="1:15" ht="21.75" customHeight="1" thickBot="1" x14ac:dyDescent="0.3">
      <c r="B44" s="308"/>
      <c r="C44" s="519">
        <v>0.3</v>
      </c>
      <c r="D44" s="516">
        <v>2.9946999999999999</v>
      </c>
      <c r="E44" s="518">
        <f>8*4</f>
        <v>32</v>
      </c>
      <c r="F44" s="516">
        <f>D44*E44*$C$44</f>
        <v>28.749119999999998</v>
      </c>
      <c r="G44" s="517">
        <f>F44</f>
        <v>28.749119999999998</v>
      </c>
      <c r="H44" s="925"/>
    </row>
    <row r="45" spans="1:15" ht="21.75" customHeight="1" thickBot="1" x14ac:dyDescent="0.3">
      <c r="C45" s="515"/>
      <c r="D45" s="516"/>
      <c r="E45" s="516"/>
      <c r="F45" s="520" t="s">
        <v>285</v>
      </c>
      <c r="G45" s="521">
        <f>SUM(G41:G44)</f>
        <v>144.54933</v>
      </c>
      <c r="H45" s="925"/>
    </row>
    <row r="48" spans="1:15" x14ac:dyDescent="0.25">
      <c r="C48" t="s">
        <v>170</v>
      </c>
    </row>
    <row r="50" spans="1:15" x14ac:dyDescent="0.25">
      <c r="C50" s="1" t="s">
        <v>171</v>
      </c>
      <c r="D50" s="996" t="s">
        <v>172</v>
      </c>
      <c r="E50" s="996"/>
      <c r="F50" s="1" t="s">
        <v>152</v>
      </c>
    </row>
    <row r="51" spans="1:15" x14ac:dyDescent="0.25">
      <c r="C51" s="81">
        <v>4</v>
      </c>
      <c r="D51" s="996">
        <v>32</v>
      </c>
      <c r="E51" s="996"/>
      <c r="F51" s="1">
        <f>C51*D51</f>
        <v>128</v>
      </c>
    </row>
    <row r="53" spans="1:15" x14ac:dyDescent="0.25">
      <c r="C53" s="2"/>
      <c r="D53" s="2"/>
      <c r="E53" s="2"/>
      <c r="F53" s="2"/>
    </row>
    <row r="54" spans="1:15" x14ac:dyDescent="0.25">
      <c r="C54" s="2"/>
      <c r="D54" s="2"/>
      <c r="E54" s="2"/>
      <c r="F54" s="2"/>
    </row>
    <row r="56" spans="1:15" ht="15.75" thickBot="1" x14ac:dyDescent="0.3"/>
    <row r="57" spans="1:15" ht="19.5" thickBot="1" x14ac:dyDescent="0.35">
      <c r="A57" s="1163" t="s">
        <v>214</v>
      </c>
      <c r="B57" s="1164"/>
      <c r="C57" s="1164"/>
      <c r="D57" s="1164"/>
      <c r="E57" s="1164"/>
      <c r="F57" s="1164"/>
      <c r="G57" s="1164"/>
      <c r="H57" s="1164"/>
      <c r="I57" s="1164"/>
      <c r="J57" s="1164"/>
      <c r="K57" s="1164"/>
      <c r="L57" s="1165"/>
    </row>
    <row r="58" spans="1:15" ht="15.75" thickBot="1" x14ac:dyDescent="0.3">
      <c r="A58" s="551"/>
      <c r="B58" s="552"/>
      <c r="C58" s="552"/>
      <c r="D58" s="552"/>
      <c r="E58" s="552"/>
      <c r="F58" s="552"/>
      <c r="G58" s="552"/>
      <c r="H58" s="552"/>
      <c r="I58" s="552"/>
      <c r="J58" s="552"/>
      <c r="K58" s="552"/>
      <c r="L58" s="553"/>
    </row>
    <row r="59" spans="1:15" ht="21.75" customHeight="1" thickBot="1" x14ac:dyDescent="0.3">
      <c r="A59" s="548" t="s">
        <v>0</v>
      </c>
      <c r="B59" s="549" t="s">
        <v>1</v>
      </c>
      <c r="C59" s="549" t="s">
        <v>2</v>
      </c>
      <c r="D59" s="549" t="s">
        <v>3</v>
      </c>
      <c r="E59" s="550" t="s">
        <v>4</v>
      </c>
      <c r="F59" s="1082" t="s">
        <v>5</v>
      </c>
      <c r="G59" s="1082"/>
      <c r="H59" s="548" t="s">
        <v>7</v>
      </c>
      <c r="I59" s="549" t="s">
        <v>8</v>
      </c>
      <c r="J59" s="549" t="s">
        <v>28</v>
      </c>
      <c r="K59" s="549" t="s">
        <v>44</v>
      </c>
      <c r="L59" s="550" t="s">
        <v>9</v>
      </c>
      <c r="M59" s="327"/>
    </row>
    <row r="60" spans="1:15" ht="32.25" customHeight="1" x14ac:dyDescent="0.25">
      <c r="A60" s="545"/>
      <c r="B60" s="546" t="s">
        <v>37</v>
      </c>
      <c r="C60" s="547" t="s">
        <v>18</v>
      </c>
      <c r="D60" s="530">
        <f>(30*2)*2</f>
        <v>120</v>
      </c>
      <c r="E60" s="532">
        <f>H60+(I60*2)+(J60*2)</f>
        <v>1199.5</v>
      </c>
      <c r="F60" s="11"/>
      <c r="G60" s="11"/>
      <c r="H60" s="467">
        <f>((1177+1170)/2)-(2*VLOOKUP(C60,Q5:U11,4,FALSE))</f>
        <v>1163.5</v>
      </c>
      <c r="I60" s="469">
        <v>10</v>
      </c>
      <c r="J60" s="535">
        <f>VLOOKUP(C60,$Q$5:$U$11,5,FALSE)</f>
        <v>8</v>
      </c>
      <c r="K60" s="469"/>
      <c r="L60" s="104">
        <f>(E60/100)*D60*VLOOKUP(C60,$Q$5:$U$11,3,FALSE)</f>
        <v>1433.6424</v>
      </c>
      <c r="M60" s="525" t="s">
        <v>43</v>
      </c>
    </row>
    <row r="61" spans="1:15" ht="32.25" customHeight="1" x14ac:dyDescent="0.25">
      <c r="A61" s="1201" t="s">
        <v>293</v>
      </c>
      <c r="B61" s="539" t="s">
        <v>101</v>
      </c>
      <c r="C61" s="536" t="s">
        <v>17</v>
      </c>
      <c r="D61" s="536">
        <f>43+44</f>
        <v>87</v>
      </c>
      <c r="E61" s="537">
        <f>H61+(I61*2)+(J61*2)</f>
        <v>618</v>
      </c>
      <c r="F61" s="377"/>
      <c r="G61" s="252"/>
      <c r="H61" s="539">
        <f>600-(2*5)-(2*(VLOOKUP(C61,$Q$5:$U$11,4,FALSE)))</f>
        <v>576</v>
      </c>
      <c r="I61" s="533">
        <v>10</v>
      </c>
      <c r="J61" s="226">
        <f>VLOOKUP(C61,$Q$5:$U$11,5,FALSE)</f>
        <v>11</v>
      </c>
      <c r="K61" s="536"/>
      <c r="L61" s="113">
        <f>((E61/100)*D61*VLOOKUP(C61,$Q$5:$U$11,3,FALSE))</f>
        <v>1201.6700999999998</v>
      </c>
      <c r="M61" s="525" t="s">
        <v>43</v>
      </c>
      <c r="O61" s="17"/>
    </row>
    <row r="62" spans="1:15" ht="32.25" customHeight="1" x14ac:dyDescent="0.25">
      <c r="A62" s="1201"/>
      <c r="B62" s="539" t="s">
        <v>349</v>
      </c>
      <c r="C62" s="536" t="s">
        <v>18</v>
      </c>
      <c r="D62" s="536">
        <f>43+44</f>
        <v>87</v>
      </c>
      <c r="E62" s="537">
        <f>H62+(I62*2)+(J62*2)</f>
        <v>616</v>
      </c>
      <c r="F62" s="377"/>
      <c r="G62" s="252"/>
      <c r="H62" s="539">
        <f>600-(2*5)-(2*(VLOOKUP(C62,$Q$5:$U$11,4,FALSE)))</f>
        <v>580</v>
      </c>
      <c r="I62" s="533">
        <v>10</v>
      </c>
      <c r="J62" s="226">
        <f>VLOOKUP(C62,$Q$5:$U$11,5,FALSE)</f>
        <v>8</v>
      </c>
      <c r="K62" s="536"/>
      <c r="L62" s="113">
        <f>((E62/100)*D62*VLOOKUP(C62,$Q$5:$U$11,3,FALSE))</f>
        <v>533.77631999999994</v>
      </c>
      <c r="M62" s="525" t="s">
        <v>43</v>
      </c>
    </row>
    <row r="63" spans="1:15" ht="32.25" customHeight="1" x14ac:dyDescent="0.25">
      <c r="A63" s="1201"/>
      <c r="B63" s="1181" t="s">
        <v>350</v>
      </c>
      <c r="C63" s="536" t="s">
        <v>17</v>
      </c>
      <c r="D63" s="536">
        <v>15</v>
      </c>
      <c r="E63" s="537">
        <f>H63+(I63*2)+(J63*2)</f>
        <v>605</v>
      </c>
      <c r="F63" s="377"/>
      <c r="G63" s="427" t="s">
        <v>31</v>
      </c>
      <c r="H63" s="539">
        <f>577-(2*(VLOOKUP(C63,$Q$5:$U$11,4,FALSE)))</f>
        <v>563</v>
      </c>
      <c r="I63" s="533">
        <v>10</v>
      </c>
      <c r="J63" s="226">
        <f>VLOOKUP(C63,$Q$5:$U$11,5,FALSE)</f>
        <v>11</v>
      </c>
      <c r="K63" s="536"/>
      <c r="L63" s="113">
        <f>((((E63+E64)/2)/100)*D63*VLOOKUP(C63,$Q$5:$U$11,3,FALSE))*O63</f>
        <v>442.53</v>
      </c>
      <c r="M63" s="525" t="s">
        <v>43</v>
      </c>
      <c r="O63" s="148">
        <v>4</v>
      </c>
    </row>
    <row r="64" spans="1:15" ht="32.25" customHeight="1" x14ac:dyDescent="0.25">
      <c r="A64" s="1201"/>
      <c r="B64" s="1181"/>
      <c r="C64" s="1018"/>
      <c r="D64" s="1018"/>
      <c r="E64" s="537">
        <f>H64+(I64*2)+(J64*2)</f>
        <v>55</v>
      </c>
      <c r="F64" s="377"/>
      <c r="G64" s="427" t="s">
        <v>32</v>
      </c>
      <c r="H64" s="539">
        <f>27-(2*(VLOOKUP(C63,$Q$5:$U$11,4,FALSE)))</f>
        <v>13</v>
      </c>
      <c r="I64" s="533">
        <v>10</v>
      </c>
      <c r="J64" s="226">
        <f>VLOOKUP(C63,$Q$5:$U$11,5,FALSE)</f>
        <v>11</v>
      </c>
      <c r="K64" s="536"/>
      <c r="L64" s="537"/>
      <c r="M64" s="525"/>
    </row>
    <row r="65" spans="1:15" ht="32.25" customHeight="1" x14ac:dyDescent="0.25">
      <c r="A65" s="1201"/>
      <c r="B65" s="1181"/>
      <c r="C65" s="1018" t="str">
        <f>CONCATENATE(O63," juegos de ",D63," vars.")</f>
        <v>4 juegos de 15 vars.</v>
      </c>
      <c r="D65" s="1018"/>
      <c r="E65" s="1019"/>
      <c r="F65" s="377"/>
      <c r="G65" s="427" t="s">
        <v>88</v>
      </c>
      <c r="H65" s="439">
        <f>(H63-H64)/(D63-1)</f>
        <v>39.285714285714285</v>
      </c>
      <c r="I65" s="533"/>
      <c r="J65" s="533"/>
      <c r="K65" s="536"/>
      <c r="L65" s="537"/>
      <c r="M65" s="525"/>
      <c r="O65" t="s">
        <v>242</v>
      </c>
    </row>
    <row r="66" spans="1:15" ht="32.25" customHeight="1" x14ac:dyDescent="0.25">
      <c r="A66" s="1201"/>
      <c r="B66" s="1181" t="s">
        <v>351</v>
      </c>
      <c r="C66" s="536" t="s">
        <v>18</v>
      </c>
      <c r="D66" s="536">
        <v>15</v>
      </c>
      <c r="E66" s="537">
        <f>H66+(I66*2)+(J66*2)</f>
        <v>603</v>
      </c>
      <c r="F66" s="377"/>
      <c r="G66" s="427" t="s">
        <v>31</v>
      </c>
      <c r="H66" s="539">
        <f>577-(2*(VLOOKUP(C66,$Q$5:$U$11,4,FALSE)))</f>
        <v>567</v>
      </c>
      <c r="I66" s="533">
        <v>10</v>
      </c>
      <c r="J66" s="226">
        <f>VLOOKUP(C66,$Q$5:$U$11,5,FALSE)</f>
        <v>8</v>
      </c>
      <c r="K66" s="536"/>
      <c r="L66" s="113">
        <f>((((E66+E67)/2)/100)*D66*VLOOKUP(C66,$Q$5:$U$11,3,FALSE))*O66</f>
        <v>196.01279999999997</v>
      </c>
      <c r="M66" s="525" t="s">
        <v>43</v>
      </c>
      <c r="O66" s="148">
        <v>4</v>
      </c>
    </row>
    <row r="67" spans="1:15" ht="32.25" customHeight="1" x14ac:dyDescent="0.25">
      <c r="A67" s="1201"/>
      <c r="B67" s="1181"/>
      <c r="C67" s="1018"/>
      <c r="D67" s="1018"/>
      <c r="E67" s="563">
        <f>H67+(I67*2)+(J67*2)</f>
        <v>53</v>
      </c>
      <c r="F67" s="377"/>
      <c r="G67" s="427" t="s">
        <v>32</v>
      </c>
      <c r="H67" s="539">
        <f>27-(2*(VLOOKUP(C66,$Q$5:$U$11,4,FALSE)))</f>
        <v>17</v>
      </c>
      <c r="I67" s="533">
        <v>10</v>
      </c>
      <c r="J67" s="226">
        <f>VLOOKUP(C66,$Q$5:$U$11,5,FALSE)</f>
        <v>8</v>
      </c>
      <c r="K67" s="536"/>
      <c r="L67" s="537"/>
      <c r="M67" s="525"/>
    </row>
    <row r="68" spans="1:15" ht="32.25" customHeight="1" thickBot="1" x14ac:dyDescent="0.3">
      <c r="A68" s="1201"/>
      <c r="B68" s="1182"/>
      <c r="C68" s="1179" t="str">
        <f>CONCATENATE(O66," juegos de ",D66," vars.")</f>
        <v>4 juegos de 15 vars.</v>
      </c>
      <c r="D68" s="1179"/>
      <c r="E68" s="1180"/>
      <c r="F68" s="377"/>
      <c r="G68" s="427" t="s">
        <v>88</v>
      </c>
      <c r="H68" s="339">
        <f>(H66-H67)/(D66-1)</f>
        <v>39.285714285714285</v>
      </c>
      <c r="I68" s="164"/>
      <c r="J68" s="164"/>
      <c r="K68" s="159"/>
      <c r="L68" s="165"/>
      <c r="M68" s="525"/>
    </row>
    <row r="69" spans="1:15" ht="21.95" customHeight="1" thickBot="1" x14ac:dyDescent="0.3">
      <c r="A69" s="166"/>
      <c r="B69" s="161"/>
      <c r="C69" s="162"/>
      <c r="D69" s="162"/>
      <c r="E69" s="162"/>
      <c r="F69" s="1185" t="s">
        <v>215</v>
      </c>
      <c r="G69" s="1186"/>
      <c r="H69" s="1187"/>
      <c r="I69" s="1187"/>
      <c r="J69" s="1187"/>
      <c r="K69" s="1188"/>
      <c r="L69" s="163"/>
    </row>
    <row r="70" spans="1:15" ht="21.95" customHeight="1" x14ac:dyDescent="0.25">
      <c r="A70" s="167"/>
      <c r="B70" s="1189"/>
      <c r="C70" s="1190"/>
      <c r="D70" s="1190"/>
      <c r="E70" s="1190"/>
      <c r="F70" s="1191"/>
      <c r="G70" s="1192"/>
      <c r="H70" s="1193"/>
      <c r="I70" s="1194" t="s">
        <v>51</v>
      </c>
      <c r="J70" s="1195"/>
      <c r="K70" s="104" t="s">
        <v>52</v>
      </c>
      <c r="L70" s="105"/>
    </row>
    <row r="71" spans="1:15" ht="21.95" customHeight="1" x14ac:dyDescent="0.25">
      <c r="A71" s="14"/>
      <c r="B71" s="928"/>
      <c r="C71" s="929"/>
      <c r="D71" s="929"/>
      <c r="E71" s="929"/>
      <c r="F71" s="1206" t="s">
        <v>80</v>
      </c>
      <c r="G71" s="1207"/>
      <c r="H71" s="1208"/>
      <c r="I71" s="1209" t="s">
        <v>30</v>
      </c>
      <c r="J71" s="1210"/>
      <c r="K71" s="538">
        <f>SUM(L60:L68)</f>
        <v>3807.6316199999997</v>
      </c>
      <c r="L71" s="107"/>
      <c r="M71" s="92" t="s">
        <v>43</v>
      </c>
    </row>
    <row r="72" spans="1:15" ht="21.95" customHeight="1" thickBot="1" x14ac:dyDescent="0.3">
      <c r="A72" s="18"/>
      <c r="B72" s="956"/>
      <c r="C72" s="957"/>
      <c r="D72" s="957"/>
      <c r="E72" s="957"/>
      <c r="F72" s="1196" t="s">
        <v>114</v>
      </c>
      <c r="G72" s="1197"/>
      <c r="H72" s="1198"/>
      <c r="I72" s="1199" t="s">
        <v>29</v>
      </c>
      <c r="J72" s="1200"/>
      <c r="K72" s="108">
        <f>F82</f>
        <v>42.69717</v>
      </c>
      <c r="L72" s="110"/>
      <c r="M72" s="92" t="s">
        <v>43</v>
      </c>
    </row>
    <row r="73" spans="1:15" ht="21.95" customHeight="1" thickBot="1" x14ac:dyDescent="0.3">
      <c r="A73" s="17"/>
      <c r="B73" s="17"/>
      <c r="C73" s="17"/>
      <c r="D73" s="17"/>
      <c r="E73" s="17"/>
      <c r="F73" s="1202" t="s">
        <v>129</v>
      </c>
      <c r="G73" s="1203"/>
      <c r="H73" s="1203"/>
      <c r="I73" s="1183" t="s">
        <v>29</v>
      </c>
      <c r="J73" s="1184"/>
      <c r="K73" s="111">
        <f>(K71/K74)</f>
        <v>0.4850486140127388</v>
      </c>
      <c r="L73" s="109"/>
    </row>
    <row r="74" spans="1:15" ht="21.95" customHeight="1" thickBot="1" x14ac:dyDescent="0.3">
      <c r="A74" s="17"/>
      <c r="B74" s="17"/>
      <c r="C74" s="17"/>
      <c r="D74" s="17"/>
      <c r="E74" s="17"/>
      <c r="F74" s="1204" t="s">
        <v>130</v>
      </c>
      <c r="G74" s="1205"/>
      <c r="H74" s="1205"/>
      <c r="I74" s="1183" t="s">
        <v>128</v>
      </c>
      <c r="J74" s="1184"/>
      <c r="K74" s="112">
        <v>7850</v>
      </c>
      <c r="L74" s="17"/>
    </row>
    <row r="75" spans="1:15" x14ac:dyDescent="0.25">
      <c r="B75" s="17"/>
      <c r="C75" s="17"/>
      <c r="D75" s="17"/>
      <c r="E75" s="17"/>
      <c r="F75" s="17"/>
      <c r="G75" s="17"/>
      <c r="H75" s="17"/>
      <c r="I75" s="17"/>
      <c r="J75" s="17"/>
      <c r="K75" s="17"/>
      <c r="L75" s="17"/>
    </row>
    <row r="79" spans="1:15" x14ac:dyDescent="0.25">
      <c r="C79" s="524" t="s">
        <v>81</v>
      </c>
      <c r="D79" s="524" t="s">
        <v>82</v>
      </c>
      <c r="E79" s="524" t="s">
        <v>352</v>
      </c>
      <c r="F79" s="1" t="s">
        <v>141</v>
      </c>
      <c r="G79" s="1"/>
    </row>
    <row r="80" spans="1:15" x14ac:dyDescent="0.25">
      <c r="C80" s="341">
        <v>0.3</v>
      </c>
      <c r="D80" s="341"/>
      <c r="E80" s="341">
        <v>71.4255</v>
      </c>
      <c r="F80" s="341">
        <f>C80*E80</f>
        <v>21.42765</v>
      </c>
      <c r="G80" s="555" t="s">
        <v>229</v>
      </c>
    </row>
    <row r="81" spans="3:16" x14ac:dyDescent="0.25">
      <c r="C81" s="341">
        <v>0.3</v>
      </c>
      <c r="D81" s="341"/>
      <c r="E81" s="341">
        <v>70.898399999999995</v>
      </c>
      <c r="F81" s="341">
        <f>C81*E81</f>
        <v>21.269519999999996</v>
      </c>
      <c r="G81" s="555" t="s">
        <v>229</v>
      </c>
    </row>
    <row r="82" spans="3:16" x14ac:dyDescent="0.25">
      <c r="C82" s="1178" t="s">
        <v>285</v>
      </c>
      <c r="D82" s="1178"/>
      <c r="E82" s="1178"/>
      <c r="F82" s="556">
        <f>SUM(F80:F81)</f>
        <v>42.69717</v>
      </c>
      <c r="G82" s="557" t="s">
        <v>229</v>
      </c>
      <c r="P82" s="23" t="e">
        <f>SUM(#REF!)</f>
        <v>#REF!</v>
      </c>
    </row>
  </sheetData>
  <mergeCells count="75">
    <mergeCell ref="K39:N39"/>
    <mergeCell ref="B63:B65"/>
    <mergeCell ref="C7:E7"/>
    <mergeCell ref="A1:L1"/>
    <mergeCell ref="A4:A14"/>
    <mergeCell ref="C6:D6"/>
    <mergeCell ref="B5:B7"/>
    <mergeCell ref="B10:B12"/>
    <mergeCell ref="C11:D11"/>
    <mergeCell ref="C12:E12"/>
    <mergeCell ref="F3:G3"/>
    <mergeCell ref="A15:A21"/>
    <mergeCell ref="B25:E25"/>
    <mergeCell ref="B24:E24"/>
    <mergeCell ref="B23:E23"/>
    <mergeCell ref="F15:G16"/>
    <mergeCell ref="F18:G18"/>
    <mergeCell ref="F20:G20"/>
    <mergeCell ref="F17:G17"/>
    <mergeCell ref="F22:K22"/>
    <mergeCell ref="I23:J23"/>
    <mergeCell ref="F23:H23"/>
    <mergeCell ref="K37:N37"/>
    <mergeCell ref="I24:J24"/>
    <mergeCell ref="I25:J25"/>
    <mergeCell ref="F25:H25"/>
    <mergeCell ref="F24:H24"/>
    <mergeCell ref="I27:J27"/>
    <mergeCell ref="F27:H27"/>
    <mergeCell ref="I32:J32"/>
    <mergeCell ref="B26:E26"/>
    <mergeCell ref="I26:J26"/>
    <mergeCell ref="F26:H26"/>
    <mergeCell ref="B29:E29"/>
    <mergeCell ref="I29:J29"/>
    <mergeCell ref="F28:H28"/>
    <mergeCell ref="F29:H29"/>
    <mergeCell ref="B27:E27"/>
    <mergeCell ref="B28:E28"/>
    <mergeCell ref="I28:J28"/>
    <mergeCell ref="I71:J71"/>
    <mergeCell ref="F30:H30"/>
    <mergeCell ref="B30:E30"/>
    <mergeCell ref="I30:J30"/>
    <mergeCell ref="C38:C39"/>
    <mergeCell ref="C41:C42"/>
    <mergeCell ref="H38:H39"/>
    <mergeCell ref="H41:H45"/>
    <mergeCell ref="D50:E50"/>
    <mergeCell ref="D51:E51"/>
    <mergeCell ref="F32:H32"/>
    <mergeCell ref="G38:G39"/>
    <mergeCell ref="G41:G42"/>
    <mergeCell ref="I74:J74"/>
    <mergeCell ref="A57:L57"/>
    <mergeCell ref="F69:K69"/>
    <mergeCell ref="B70:E70"/>
    <mergeCell ref="F70:H70"/>
    <mergeCell ref="I70:J70"/>
    <mergeCell ref="B72:E72"/>
    <mergeCell ref="F72:H72"/>
    <mergeCell ref="I72:J72"/>
    <mergeCell ref="A61:A68"/>
    <mergeCell ref="F59:G59"/>
    <mergeCell ref="F73:H73"/>
    <mergeCell ref="F74:H74"/>
    <mergeCell ref="I73:J73"/>
    <mergeCell ref="B71:E71"/>
    <mergeCell ref="F71:H71"/>
    <mergeCell ref="C82:E82"/>
    <mergeCell ref="C67:D67"/>
    <mergeCell ref="C68:E68"/>
    <mergeCell ref="B66:B68"/>
    <mergeCell ref="C64:D64"/>
    <mergeCell ref="C65:E65"/>
  </mergeCells>
  <pageMargins left="0.7" right="0.7" top="0.75" bottom="0.75" header="0.3" footer="0.3"/>
  <pageSetup orientation="portrait" r:id="rId1"/>
  <drawing r:id="rId2"/>
  <legacyDrawing r:id="rId3"/>
  <oleObjects>
    <mc:AlternateContent xmlns:mc="http://schemas.openxmlformats.org/markup-compatibility/2006">
      <mc:Choice Requires="x14">
        <oleObject progId="AutoCAD.Drawing.19" shapeId="6145" r:id="rId4">
          <objectPr defaultSize="0" autoPict="0" r:id="rId5">
            <anchor moveWithCells="1">
              <from>
                <xdr:col>5</xdr:col>
                <xdr:colOff>123825</xdr:colOff>
                <xdr:row>8</xdr:row>
                <xdr:rowOff>9525</xdr:rowOff>
              </from>
              <to>
                <xdr:col>6</xdr:col>
                <xdr:colOff>95250</xdr:colOff>
                <xdr:row>12</xdr:row>
                <xdr:rowOff>57150</xdr:rowOff>
              </to>
            </anchor>
          </objectPr>
        </oleObject>
      </mc:Choice>
      <mc:Fallback>
        <oleObject progId="AutoCAD.Drawing.19" shapeId="6145" r:id="rId4"/>
      </mc:Fallback>
    </mc:AlternateContent>
    <mc:AlternateContent xmlns:mc="http://schemas.openxmlformats.org/markup-compatibility/2006">
      <mc:Choice Requires="x14">
        <oleObject progId="AutoCAD.Drawing.19" shapeId="6166" r:id="rId6">
          <objectPr defaultSize="0" autoPict="0" r:id="rId7">
            <anchor moveWithCells="1">
              <from>
                <xdr:col>5</xdr:col>
                <xdr:colOff>666750</xdr:colOff>
                <xdr:row>20</xdr:row>
                <xdr:rowOff>95250</xdr:rowOff>
              </from>
              <to>
                <xdr:col>6</xdr:col>
                <xdr:colOff>19050</xdr:colOff>
                <xdr:row>20</xdr:row>
                <xdr:rowOff>1095375</xdr:rowOff>
              </to>
            </anchor>
          </objectPr>
        </oleObject>
      </mc:Choice>
      <mc:Fallback>
        <oleObject progId="AutoCAD.Drawing.19" shapeId="6166" r:id="rId6"/>
      </mc:Fallback>
    </mc:AlternateContent>
    <mc:AlternateContent xmlns:mc="http://schemas.openxmlformats.org/markup-compatibility/2006">
      <mc:Choice Requires="x14">
        <oleObject progId="AutoCAD.Drawing.19" shapeId="6172" r:id="rId8">
          <objectPr defaultSize="0" autoPict="0" r:id="rId9">
            <anchor moveWithCells="1">
              <from>
                <xdr:col>5</xdr:col>
                <xdr:colOff>819150</xdr:colOff>
                <xdr:row>14</xdr:row>
                <xdr:rowOff>209550</xdr:rowOff>
              </from>
              <to>
                <xdr:col>5</xdr:col>
                <xdr:colOff>2724150</xdr:colOff>
                <xdr:row>15</xdr:row>
                <xdr:rowOff>381000</xdr:rowOff>
              </to>
            </anchor>
          </objectPr>
        </oleObject>
      </mc:Choice>
      <mc:Fallback>
        <oleObject progId="AutoCAD.Drawing.19" shapeId="6172" r:id="rId8"/>
      </mc:Fallback>
    </mc:AlternateContent>
    <mc:AlternateContent xmlns:mc="http://schemas.openxmlformats.org/markup-compatibility/2006">
      <mc:Choice Requires="x14">
        <oleObject progId="AutoCAD.Drawing.19" shapeId="6183" r:id="rId10">
          <objectPr defaultSize="0" autoPict="0" r:id="rId5">
            <anchor moveWithCells="1">
              <from>
                <xdr:col>4</xdr:col>
                <xdr:colOff>676275</xdr:colOff>
                <xdr:row>61</xdr:row>
                <xdr:rowOff>352425</xdr:rowOff>
              </from>
              <to>
                <xdr:col>6</xdr:col>
                <xdr:colOff>276225</xdr:colOff>
                <xdr:row>65</xdr:row>
                <xdr:rowOff>285750</xdr:rowOff>
              </to>
            </anchor>
          </objectPr>
        </oleObject>
      </mc:Choice>
      <mc:Fallback>
        <oleObject progId="AutoCAD.Drawing.19" shapeId="6183" r:id="rId10"/>
      </mc:Fallback>
    </mc:AlternateContent>
    <mc:AlternateContent xmlns:mc="http://schemas.openxmlformats.org/markup-compatibility/2006">
      <mc:Choice Requires="x14">
        <oleObject progId="AutoCAD.Drawing.19" shapeId="6185" r:id="rId11">
          <objectPr defaultSize="0" autoPict="0" r:id="rId12">
            <anchor moveWithCells="1">
              <from>
                <xdr:col>5</xdr:col>
                <xdr:colOff>1133475</xdr:colOff>
                <xdr:row>17</xdr:row>
                <xdr:rowOff>114300</xdr:rowOff>
              </from>
              <to>
                <xdr:col>5</xdr:col>
                <xdr:colOff>2505075</xdr:colOff>
                <xdr:row>17</xdr:row>
                <xdr:rowOff>1543050</xdr:rowOff>
              </to>
            </anchor>
          </objectPr>
        </oleObject>
      </mc:Choice>
      <mc:Fallback>
        <oleObject progId="AutoCAD.Drawing.19" shapeId="6185" r:id="rId11"/>
      </mc:Fallback>
    </mc:AlternateContent>
    <mc:AlternateContent xmlns:mc="http://schemas.openxmlformats.org/markup-compatibility/2006">
      <mc:Choice Requires="x14">
        <oleObject progId="AutoCAD.Drawing.19" shapeId="6186" r:id="rId13">
          <objectPr defaultSize="0" autoPict="0" r:id="rId14">
            <anchor moveWithCells="1">
              <from>
                <xdr:col>5</xdr:col>
                <xdr:colOff>847725</xdr:colOff>
                <xdr:row>15</xdr:row>
                <xdr:rowOff>561975</xdr:rowOff>
              </from>
              <to>
                <xdr:col>5</xdr:col>
                <xdr:colOff>2686050</xdr:colOff>
                <xdr:row>17</xdr:row>
                <xdr:rowOff>57150</xdr:rowOff>
              </to>
            </anchor>
          </objectPr>
        </oleObject>
      </mc:Choice>
      <mc:Fallback>
        <oleObject progId="AutoCAD.Drawing.19" shapeId="6186" r:id="rId13"/>
      </mc:Fallback>
    </mc:AlternateContent>
    <mc:AlternateContent xmlns:mc="http://schemas.openxmlformats.org/markup-compatibility/2006">
      <mc:Choice Requires="x14">
        <oleObject progId="AutoCAD.Drawing.19" shapeId="6187" r:id="rId15">
          <objectPr defaultSize="0" autoPict="0" r:id="rId16">
            <anchor moveWithCells="1">
              <from>
                <xdr:col>5</xdr:col>
                <xdr:colOff>1352550</xdr:colOff>
                <xdr:row>18</xdr:row>
                <xdr:rowOff>76200</xdr:rowOff>
              </from>
              <to>
                <xdr:col>5</xdr:col>
                <xdr:colOff>2371725</xdr:colOff>
                <xdr:row>18</xdr:row>
                <xdr:rowOff>1533525</xdr:rowOff>
              </to>
            </anchor>
          </objectPr>
        </oleObject>
      </mc:Choice>
      <mc:Fallback>
        <oleObject progId="AutoCAD.Drawing.19" shapeId="6187" r:id="rId1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54"/>
  <sheetViews>
    <sheetView showGridLines="0" topLeftCell="C20" zoomScale="85" zoomScaleNormal="85" workbookViewId="0">
      <selection activeCell="J36" sqref="J36"/>
    </sheetView>
  </sheetViews>
  <sheetFormatPr baseColWidth="10" defaultRowHeight="15" x14ac:dyDescent="0.25"/>
  <cols>
    <col min="1" max="1" width="6" customWidth="1"/>
    <col min="2" max="2" width="9.7109375" customWidth="1"/>
    <col min="4" max="4" width="9.140625" customWidth="1"/>
    <col min="5" max="5" width="13.140625" customWidth="1"/>
    <col min="6" max="6" width="45.140625" customWidth="1"/>
    <col min="7" max="9" width="7.5703125" customWidth="1"/>
    <col min="10" max="10" width="8.85546875" customWidth="1"/>
    <col min="11" max="11" width="10.85546875" customWidth="1"/>
    <col min="12" max="12" width="11.42578125" customWidth="1"/>
    <col min="13" max="13" width="5.140625" style="92" customWidth="1"/>
    <col min="14" max="14" width="3.42578125" customWidth="1"/>
    <col min="15" max="15" width="15.85546875" customWidth="1"/>
    <col min="16" max="16" width="7.7109375" customWidth="1"/>
    <col min="17" max="17" width="8.85546875" customWidth="1"/>
  </cols>
  <sheetData>
    <row r="1" spans="1:21" ht="19.5" thickBot="1" x14ac:dyDescent="0.35">
      <c r="A1" s="1163" t="s">
        <v>357</v>
      </c>
      <c r="B1" s="1164"/>
      <c r="C1" s="1164"/>
      <c r="D1" s="1164"/>
      <c r="E1" s="1164"/>
      <c r="F1" s="1164"/>
      <c r="G1" s="1164"/>
      <c r="H1" s="1164"/>
      <c r="I1" s="1164"/>
      <c r="J1" s="1164"/>
      <c r="K1" s="1164"/>
      <c r="L1" s="1165"/>
    </row>
    <row r="2" spans="1:21" x14ac:dyDescent="0.25">
      <c r="A2" s="12"/>
      <c r="B2" s="10"/>
      <c r="C2" s="10"/>
      <c r="D2" s="10"/>
      <c r="E2" s="10"/>
      <c r="F2" s="10"/>
      <c r="G2" s="10"/>
      <c r="H2" s="10"/>
      <c r="I2" s="10"/>
      <c r="J2" s="10"/>
      <c r="K2" s="10"/>
      <c r="L2" s="13"/>
    </row>
    <row r="3" spans="1:21" ht="15.75" thickBot="1" x14ac:dyDescent="0.3">
      <c r="A3" s="558" t="s">
        <v>0</v>
      </c>
      <c r="B3" s="493" t="s">
        <v>1</v>
      </c>
      <c r="C3" s="493" t="s">
        <v>2</v>
      </c>
      <c r="D3" s="493" t="s">
        <v>3</v>
      </c>
      <c r="E3" s="493" t="s">
        <v>4</v>
      </c>
      <c r="F3" s="540" t="s">
        <v>5</v>
      </c>
      <c r="G3" s="540"/>
      <c r="H3" s="493" t="s">
        <v>7</v>
      </c>
      <c r="I3" s="493" t="s">
        <v>8</v>
      </c>
      <c r="J3" s="493" t="s">
        <v>28</v>
      </c>
      <c r="K3" s="494" t="s">
        <v>44</v>
      </c>
      <c r="L3" s="495" t="s">
        <v>9</v>
      </c>
      <c r="M3" s="327"/>
    </row>
    <row r="4" spans="1:21" ht="24.75" customHeight="1" thickBot="1" x14ac:dyDescent="0.3">
      <c r="A4" s="1246" t="s">
        <v>33</v>
      </c>
      <c r="B4" s="467" t="s">
        <v>255</v>
      </c>
      <c r="C4" s="469" t="s">
        <v>244</v>
      </c>
      <c r="D4" s="248">
        <f>(187*2)+(186*2)</f>
        <v>746</v>
      </c>
      <c r="E4" s="272">
        <f>H4+(I4*2)+(J4*2)</f>
        <v>1055</v>
      </c>
      <c r="F4" s="559"/>
      <c r="G4" s="560"/>
      <c r="H4" s="278">
        <f>1049-(2*5)-(2*VLOOKUP(C4,$Q$5:$U$11,4,FALSE))</f>
        <v>1027</v>
      </c>
      <c r="I4" s="249">
        <v>5</v>
      </c>
      <c r="J4" s="249">
        <f>VLOOKUP(C4,$Q$5:$U$11,5,FALSE)</f>
        <v>9</v>
      </c>
      <c r="K4" s="248"/>
      <c r="L4" s="104">
        <f>(E4/100)*D4*VLOOKUP(C4,$Q$5:$U$11,3,FALSE)</f>
        <v>12198.965</v>
      </c>
      <c r="M4" s="525" t="s">
        <v>43</v>
      </c>
      <c r="O4" t="s">
        <v>242</v>
      </c>
      <c r="Q4" s="238" t="s">
        <v>19</v>
      </c>
      <c r="R4" s="239" t="s">
        <v>20</v>
      </c>
      <c r="S4" s="239" t="s">
        <v>25</v>
      </c>
      <c r="T4" s="240" t="s">
        <v>311</v>
      </c>
      <c r="U4" s="241" t="s">
        <v>312</v>
      </c>
    </row>
    <row r="5" spans="1:21" ht="24.75" customHeight="1" thickBot="1" x14ac:dyDescent="0.3">
      <c r="A5" s="1247"/>
      <c r="B5" s="1181" t="s">
        <v>254</v>
      </c>
      <c r="C5" s="533" t="s">
        <v>244</v>
      </c>
      <c r="D5" s="536">
        <f>((17+17)+(17+17))</f>
        <v>68</v>
      </c>
      <c r="E5" s="537">
        <f>H5+(I5*2)+(J5*2)</f>
        <v>1033</v>
      </c>
      <c r="F5" s="56"/>
      <c r="G5" s="114" t="s">
        <v>31</v>
      </c>
      <c r="H5" s="280">
        <f>1033-(2*5)-(2*VLOOKUP(C5,$Q$5:$U$11,4,FALSE))</f>
        <v>1011</v>
      </c>
      <c r="I5" s="536">
        <v>5</v>
      </c>
      <c r="J5" s="536">
        <v>6</v>
      </c>
      <c r="K5" s="536"/>
      <c r="L5" s="538">
        <f>((((E5+E6)/2)/100)*D5*VLOOKUP(C5,$Q$5:$U$11,3,FALSE))*O5</f>
        <v>1124.6179999999999</v>
      </c>
      <c r="M5" s="525" t="s">
        <v>43</v>
      </c>
      <c r="O5" s="148">
        <v>2</v>
      </c>
      <c r="Q5" s="235" t="s">
        <v>243</v>
      </c>
      <c r="R5" s="236" t="s">
        <v>21</v>
      </c>
      <c r="S5" s="262">
        <v>0.55700000000000005</v>
      </c>
      <c r="T5" s="237">
        <f>ROUNDUP((3/8*2.54*3.5),0)</f>
        <v>4</v>
      </c>
      <c r="U5" s="260">
        <f>ROUND(+PI()*T5*2/4,0)</f>
        <v>6</v>
      </c>
    </row>
    <row r="6" spans="1:21" ht="24.75" customHeight="1" thickBot="1" x14ac:dyDescent="0.3">
      <c r="A6" s="1247"/>
      <c r="B6" s="1181"/>
      <c r="C6" s="1018"/>
      <c r="D6" s="1018"/>
      <c r="E6" s="537">
        <f>H6+(I6*2)+(J6*2)</f>
        <v>34</v>
      </c>
      <c r="F6" s="56"/>
      <c r="G6" s="114" t="s">
        <v>32</v>
      </c>
      <c r="H6" s="280">
        <f>24-(2*VLOOKUP(C5,$Q$5:$U$11,4,FALSE))</f>
        <v>12</v>
      </c>
      <c r="I6" s="536">
        <v>5</v>
      </c>
      <c r="J6" s="536">
        <v>6</v>
      </c>
      <c r="K6" s="536"/>
      <c r="L6" s="538"/>
      <c r="M6" s="525"/>
      <c r="Q6" s="526" t="s">
        <v>18</v>
      </c>
      <c r="R6" s="220" t="s">
        <v>22</v>
      </c>
      <c r="S6" s="263">
        <v>0.996</v>
      </c>
      <c r="T6" s="522">
        <f>ROUNDUP((4/8*2.54*3.5),0)</f>
        <v>5</v>
      </c>
      <c r="U6" s="259">
        <f t="shared" ref="U6:U11" si="0">ROUND(+PI()*T6*2/4,0)</f>
        <v>8</v>
      </c>
    </row>
    <row r="7" spans="1:21" ht="24.75" customHeight="1" thickBot="1" x14ac:dyDescent="0.3">
      <c r="A7" s="1247"/>
      <c r="B7" s="1181"/>
      <c r="C7" s="1018" t="str">
        <f>CONCATENATE(O5," juegos de ",D5," vars.")</f>
        <v>2 juegos de 68 vars.</v>
      </c>
      <c r="D7" s="1018"/>
      <c r="E7" s="1019"/>
      <c r="F7" s="56"/>
      <c r="G7" s="114" t="s">
        <v>88</v>
      </c>
      <c r="H7" s="439">
        <f>(H5-H6)/(D5-1)</f>
        <v>14.91044776119403</v>
      </c>
      <c r="I7" s="536"/>
      <c r="J7" s="536"/>
      <c r="K7" s="536"/>
      <c r="L7" s="538"/>
      <c r="M7" s="525"/>
      <c r="O7" s="17"/>
      <c r="Q7" s="527" t="s">
        <v>244</v>
      </c>
      <c r="R7" s="231" t="s">
        <v>23</v>
      </c>
      <c r="S7" s="262">
        <v>1.55</v>
      </c>
      <c r="T7" s="232">
        <f>ROUNDUP((5/8*2.54*3.5),0)</f>
        <v>6</v>
      </c>
      <c r="U7" s="261">
        <f t="shared" si="0"/>
        <v>9</v>
      </c>
    </row>
    <row r="8" spans="1:21" ht="24.75" customHeight="1" thickBot="1" x14ac:dyDescent="0.3">
      <c r="A8" s="1247"/>
      <c r="B8" s="539" t="s">
        <v>140</v>
      </c>
      <c r="C8" s="533" t="s">
        <v>18</v>
      </c>
      <c r="D8" s="536">
        <f>(11*4)*2</f>
        <v>88</v>
      </c>
      <c r="E8" s="537">
        <f>H8+(I8*2)+(J8*2)</f>
        <v>300</v>
      </c>
      <c r="F8" s="56"/>
      <c r="G8" s="115"/>
      <c r="H8" s="539">
        <v>300</v>
      </c>
      <c r="I8" s="533"/>
      <c r="J8" s="533"/>
      <c r="K8" s="536"/>
      <c r="L8" s="538">
        <f>(E8/100)*D8*VLOOKUP(C8,$Q$5:$U$11,3,FALSE)</f>
        <v>262.94400000000002</v>
      </c>
      <c r="M8" s="525" t="s">
        <v>43</v>
      </c>
      <c r="O8" s="17"/>
      <c r="Q8" s="526" t="s">
        <v>17</v>
      </c>
      <c r="R8" s="220" t="s">
        <v>24</v>
      </c>
      <c r="S8" s="263">
        <v>2.2349999999999999</v>
      </c>
      <c r="T8" s="522">
        <f>ROUNDUP((6/8*2.54*3.5),0)</f>
        <v>7</v>
      </c>
      <c r="U8" s="259">
        <f t="shared" si="0"/>
        <v>11</v>
      </c>
    </row>
    <row r="9" spans="1:21" ht="24.75" customHeight="1" thickBot="1" x14ac:dyDescent="0.3">
      <c r="A9" s="1247"/>
      <c r="B9" s="539" t="s">
        <v>263</v>
      </c>
      <c r="C9" s="533" t="s">
        <v>18</v>
      </c>
      <c r="D9" s="536">
        <f>(49*2)+(49*2)</f>
        <v>196</v>
      </c>
      <c r="E9" s="537">
        <f>H9+(I9*2)+(J9*2)</f>
        <v>4090.1170000000002</v>
      </c>
      <c r="F9" s="56"/>
      <c r="G9" s="103"/>
      <c r="H9" s="280">
        <f>4084.117-(2*5)-(2*VLOOKUP(C9,$Q$5:$U$11,4,FALSE))</f>
        <v>4064.1170000000002</v>
      </c>
      <c r="I9" s="533">
        <v>5</v>
      </c>
      <c r="J9" s="226">
        <f>VLOOKUP(C9,$Q$5:$U$11,5,FALSE)</f>
        <v>8</v>
      </c>
      <c r="K9" s="536"/>
      <c r="L9" s="538">
        <f>(E9/100)*D9*VLOOKUP(C9,$Q$5:$U$11,3,FALSE)</f>
        <v>7984.56280272</v>
      </c>
      <c r="M9" s="525" t="s">
        <v>43</v>
      </c>
      <c r="O9" t="s">
        <v>242</v>
      </c>
      <c r="Q9" s="527" t="s">
        <v>16</v>
      </c>
      <c r="R9" s="233">
        <v>1</v>
      </c>
      <c r="S9" s="262">
        <v>3.99</v>
      </c>
      <c r="T9" s="232">
        <f>ROUNDUP((8/8*2.54*3.5),0)</f>
        <v>9</v>
      </c>
      <c r="U9" s="260">
        <f t="shared" si="0"/>
        <v>14</v>
      </c>
    </row>
    <row r="10" spans="1:21" ht="24.75" customHeight="1" thickBot="1" x14ac:dyDescent="0.3">
      <c r="A10" s="1247"/>
      <c r="B10" s="1181" t="s">
        <v>270</v>
      </c>
      <c r="C10" s="536" t="s">
        <v>18</v>
      </c>
      <c r="D10" s="536">
        <v>18</v>
      </c>
      <c r="E10" s="537">
        <f>H10+(I10*2)+(J10*2)</f>
        <v>3499.1462999999999</v>
      </c>
      <c r="F10" s="56"/>
      <c r="G10" s="114" t="s">
        <v>31</v>
      </c>
      <c r="H10" s="280">
        <f>3483.1463-(2*VLOOKUP(C10,$Q$5:$U$11,4,FALSE))</f>
        <v>3473.1462999999999</v>
      </c>
      <c r="I10" s="536">
        <v>5</v>
      </c>
      <c r="J10" s="226">
        <f>VLOOKUP(C10,$Q$5:$U$11,5,FALSE)</f>
        <v>8</v>
      </c>
      <c r="K10" s="536"/>
      <c r="L10" s="538">
        <f>((((E10+E11)/2)/100)*D10*VLOOKUP(C10,$Q$5:$U$11,3,FALSE))*O10</f>
        <v>671.22082403999991</v>
      </c>
      <c r="M10" s="525" t="s">
        <v>43</v>
      </c>
      <c r="O10" s="148">
        <v>2</v>
      </c>
      <c r="Q10" s="526" t="s">
        <v>290</v>
      </c>
      <c r="R10" s="221">
        <v>1.25</v>
      </c>
      <c r="S10" s="263">
        <v>6.2249999999999996</v>
      </c>
      <c r="T10" s="522">
        <f>ROUNDUP((10/8*2.54*3.5),0)</f>
        <v>12</v>
      </c>
      <c r="U10" s="259">
        <f t="shared" si="0"/>
        <v>19</v>
      </c>
    </row>
    <row r="11" spans="1:21" ht="24.75" customHeight="1" thickBot="1" x14ac:dyDescent="0.3">
      <c r="A11" s="1247"/>
      <c r="B11" s="1181"/>
      <c r="C11" s="1018"/>
      <c r="D11" s="1018"/>
      <c r="E11" s="537">
        <f>H11+(I11*2)+(J11*2)</f>
        <v>244.83420000000001</v>
      </c>
      <c r="F11" s="56"/>
      <c r="G11" s="114" t="s">
        <v>32</v>
      </c>
      <c r="H11" s="280">
        <f>228.8342-(2*VLOOKUP(C10,$Q$5:$U$11,4,FALSE))</f>
        <v>218.83420000000001</v>
      </c>
      <c r="I11" s="536">
        <v>5</v>
      </c>
      <c r="J11" s="226">
        <f>VLOOKUP(C10,$Q$5:$U$11,5,FALSE)</f>
        <v>8</v>
      </c>
      <c r="K11" s="536"/>
      <c r="L11" s="538"/>
      <c r="M11" s="525"/>
      <c r="Q11" s="527" t="s">
        <v>286</v>
      </c>
      <c r="R11" s="234">
        <v>1.5</v>
      </c>
      <c r="S11" s="262">
        <v>8.9380000000000006</v>
      </c>
      <c r="T11" s="232">
        <f>ROUNDUP((12/8*2.54*3.5),0)</f>
        <v>14</v>
      </c>
      <c r="U11" s="258">
        <f t="shared" si="0"/>
        <v>22</v>
      </c>
    </row>
    <row r="12" spans="1:21" ht="24.75" customHeight="1" x14ac:dyDescent="0.25">
      <c r="A12" s="1247"/>
      <c r="B12" s="1181"/>
      <c r="C12" s="1018" t="str">
        <f>CONCATENATE(O10," juegos de ",D10," vars.")</f>
        <v>2 juegos de 18 vars.</v>
      </c>
      <c r="D12" s="1018"/>
      <c r="E12" s="1019"/>
      <c r="F12" s="56"/>
      <c r="G12" s="114" t="s">
        <v>88</v>
      </c>
      <c r="H12" s="439">
        <f>(H10-H11)/(D10-1)</f>
        <v>191.43012352941176</v>
      </c>
      <c r="I12" s="536"/>
      <c r="J12" s="536"/>
      <c r="K12" s="536"/>
      <c r="L12" s="538"/>
      <c r="M12" s="525"/>
      <c r="R12" s="3"/>
      <c r="S12" s="21"/>
      <c r="T12" s="3"/>
    </row>
    <row r="13" spans="1:21" ht="24.75" customHeight="1" x14ac:dyDescent="0.25">
      <c r="A13" s="1247"/>
      <c r="B13" s="539" t="s">
        <v>12</v>
      </c>
      <c r="C13" s="533" t="s">
        <v>18</v>
      </c>
      <c r="D13" s="536">
        <f>(8*5)*2</f>
        <v>80</v>
      </c>
      <c r="E13" s="537">
        <f>H13+(I13*2)+(J13*2)</f>
        <v>225</v>
      </c>
      <c r="F13" s="56"/>
      <c r="G13" s="59"/>
      <c r="H13" s="539">
        <v>225</v>
      </c>
      <c r="I13" s="533"/>
      <c r="J13" s="533"/>
      <c r="K13" s="536"/>
      <c r="L13" s="538">
        <f t="shared" ref="L13:L21" si="1">(E13/100)*D13*VLOOKUP(C13,$Q$5:$U$11,3,FALSE)</f>
        <v>179.28</v>
      </c>
      <c r="M13" s="525" t="s">
        <v>43</v>
      </c>
      <c r="R13" s="3"/>
      <c r="S13" s="21"/>
      <c r="T13" s="3"/>
    </row>
    <row r="14" spans="1:21" ht="24.75" customHeight="1" thickBot="1" x14ac:dyDescent="0.3">
      <c r="A14" s="1248"/>
      <c r="B14" s="497" t="s">
        <v>13</v>
      </c>
      <c r="C14" s="498" t="s">
        <v>18</v>
      </c>
      <c r="D14" s="159">
        <f>(8*5)*2</f>
        <v>80</v>
      </c>
      <c r="E14" s="165">
        <f>H14+(I14*2)+(J14*2)</f>
        <v>175</v>
      </c>
      <c r="F14" s="561"/>
      <c r="G14" s="562"/>
      <c r="H14" s="497">
        <v>175</v>
      </c>
      <c r="I14" s="164"/>
      <c r="J14" s="164"/>
      <c r="K14" s="159"/>
      <c r="L14" s="108">
        <f t="shared" si="1"/>
        <v>139.44</v>
      </c>
      <c r="M14" s="525" t="s">
        <v>43</v>
      </c>
    </row>
    <row r="15" spans="1:21" ht="45" customHeight="1" x14ac:dyDescent="0.25">
      <c r="A15" s="1241" t="s">
        <v>106</v>
      </c>
      <c r="B15" s="467" t="s">
        <v>37</v>
      </c>
      <c r="C15" s="468" t="s">
        <v>18</v>
      </c>
      <c r="D15" s="248">
        <f>((6*2)*8)*5</f>
        <v>480</v>
      </c>
      <c r="E15" s="272">
        <f>H15</f>
        <v>180</v>
      </c>
      <c r="F15" s="1249"/>
      <c r="G15" s="1250"/>
      <c r="H15" s="467">
        <v>180</v>
      </c>
      <c r="I15" s="469"/>
      <c r="J15" s="469"/>
      <c r="K15" s="469"/>
      <c r="L15" s="104">
        <f t="shared" si="1"/>
        <v>860.54399999999998</v>
      </c>
      <c r="M15" s="529" t="s">
        <v>43</v>
      </c>
    </row>
    <row r="16" spans="1:21" ht="45" customHeight="1" x14ac:dyDescent="0.25">
      <c r="A16" s="1242"/>
      <c r="B16" s="539" t="s">
        <v>38</v>
      </c>
      <c r="C16" s="146" t="s">
        <v>18</v>
      </c>
      <c r="D16" s="536">
        <f>(2*8)*5</f>
        <v>80</v>
      </c>
      <c r="E16" s="537">
        <f>H16</f>
        <v>117</v>
      </c>
      <c r="F16" s="1251"/>
      <c r="G16" s="1252"/>
      <c r="H16" s="539">
        <v>117</v>
      </c>
      <c r="I16" s="533"/>
      <c r="J16" s="533"/>
      <c r="K16" s="533"/>
      <c r="L16" s="538">
        <f t="shared" si="1"/>
        <v>93.2256</v>
      </c>
      <c r="M16" s="529" t="s">
        <v>43</v>
      </c>
    </row>
    <row r="17" spans="1:17" ht="127.5" customHeight="1" x14ac:dyDescent="0.25">
      <c r="A17" s="1242"/>
      <c r="B17" s="539" t="s">
        <v>262</v>
      </c>
      <c r="C17" s="146" t="s">
        <v>18</v>
      </c>
      <c r="D17" s="536">
        <f>(4*8)*2</f>
        <v>64</v>
      </c>
      <c r="E17" s="537">
        <f>(H17*2)+(I17*2)+(J17*4)+K17</f>
        <v>530</v>
      </c>
      <c r="F17" s="1157"/>
      <c r="G17" s="1158"/>
      <c r="H17" s="539">
        <f>170-(2*VLOOKUP(C17,$Q$5:$U$11,4,FALSE))</f>
        <v>160</v>
      </c>
      <c r="I17" s="533">
        <f>24-(2*VLOOKUP(C17,$Q$5:$U$11,4,FALSE))</f>
        <v>14</v>
      </c>
      <c r="J17" s="226">
        <f>VLOOKUP(C17,$Q$5:$U$11,5,FALSE)</f>
        <v>8</v>
      </c>
      <c r="K17" s="533">
        <v>150</v>
      </c>
      <c r="L17" s="538">
        <f t="shared" si="1"/>
        <v>337.84319999999997</v>
      </c>
      <c r="M17" s="529" t="s">
        <v>43</v>
      </c>
    </row>
    <row r="18" spans="1:17" ht="127.5" customHeight="1" x14ac:dyDescent="0.25">
      <c r="A18" s="1242"/>
      <c r="B18" s="539" t="s">
        <v>35</v>
      </c>
      <c r="C18" s="146" t="s">
        <v>18</v>
      </c>
      <c r="D18" s="536">
        <f>(4*8)*3</f>
        <v>96</v>
      </c>
      <c r="E18" s="537">
        <f>(H18*2)+(I18*2)+(J18*4)+(K18*2)</f>
        <v>480</v>
      </c>
      <c r="F18" s="1157"/>
      <c r="G18" s="1158"/>
      <c r="H18" s="539">
        <f>170-(2*VLOOKUP(C18,$Q$5:$U$11,4,FALSE))</f>
        <v>160</v>
      </c>
      <c r="I18" s="533">
        <f>24-(2*VLOOKUP(C18,$Q$5:$U$11,4,FALSE))</f>
        <v>14</v>
      </c>
      <c r="J18" s="226">
        <f>VLOOKUP(C18,$Q$5:$U$11,5,FALSE)</f>
        <v>8</v>
      </c>
      <c r="K18" s="533">
        <v>50</v>
      </c>
      <c r="L18" s="538">
        <f t="shared" si="1"/>
        <v>458.95679999999993</v>
      </c>
      <c r="M18" s="529" t="s">
        <v>43</v>
      </c>
    </row>
    <row r="19" spans="1:17" ht="127.5" customHeight="1" x14ac:dyDescent="0.25">
      <c r="A19" s="1242"/>
      <c r="B19" s="539" t="s">
        <v>36</v>
      </c>
      <c r="C19" s="146" t="s">
        <v>18</v>
      </c>
      <c r="D19" s="536">
        <f>(4*8)*5</f>
        <v>160</v>
      </c>
      <c r="E19" s="537">
        <f>(H19*2)+(I19*2)+(J19*5)+(K19*2)</f>
        <v>334</v>
      </c>
      <c r="F19" s="210"/>
      <c r="G19" s="211"/>
      <c r="H19" s="539">
        <f>((129+142+132+129)/4)-(2*VLOOKUP(C17,$Q$5:$U$11,4,FALSE))</f>
        <v>123</v>
      </c>
      <c r="I19" s="533">
        <f>24-(2*VLOOKUP(C19,$Q$5:$U$11,4,FALSE))</f>
        <v>14</v>
      </c>
      <c r="J19" s="226">
        <f>VLOOKUP(C19,$Q$5:$U$11,5,FALSE)</f>
        <v>8</v>
      </c>
      <c r="K19" s="533">
        <v>10</v>
      </c>
      <c r="L19" s="538">
        <f t="shared" si="1"/>
        <v>532.26239999999996</v>
      </c>
      <c r="M19" s="529" t="s">
        <v>43</v>
      </c>
    </row>
    <row r="20" spans="1:17" ht="127.5" customHeight="1" thickBot="1" x14ac:dyDescent="0.3">
      <c r="A20" s="1242"/>
      <c r="B20" s="497" t="s">
        <v>15</v>
      </c>
      <c r="C20" s="498" t="s">
        <v>18</v>
      </c>
      <c r="D20" s="159">
        <f>(2*8)*5</f>
        <v>80</v>
      </c>
      <c r="E20" s="165">
        <f>H20+(I20*2)+21+28+4+5+3+4</f>
        <v>402</v>
      </c>
      <c r="F20" s="1157"/>
      <c r="G20" s="1158"/>
      <c r="H20" s="497">
        <v>135</v>
      </c>
      <c r="I20" s="164">
        <v>101</v>
      </c>
      <c r="J20" s="283">
        <f>VLOOKUP(C20,$Q$5:$U$11,5,FALSE)</f>
        <v>8</v>
      </c>
      <c r="K20" s="164"/>
      <c r="L20" s="108">
        <f t="shared" si="1"/>
        <v>320.31359999999995</v>
      </c>
      <c r="M20" s="529" t="s">
        <v>43</v>
      </c>
    </row>
    <row r="21" spans="1:17" ht="127.5" customHeight="1" thickBot="1" x14ac:dyDescent="0.3">
      <c r="A21" s="1243"/>
      <c r="B21" s="501" t="s">
        <v>34</v>
      </c>
      <c r="C21" s="502" t="s">
        <v>17</v>
      </c>
      <c r="D21" s="503">
        <f>(4*2)*5</f>
        <v>40</v>
      </c>
      <c r="E21" s="554">
        <f>H21+I21*2</f>
        <v>894</v>
      </c>
      <c r="F21" s="212"/>
      <c r="G21" s="213"/>
      <c r="H21" s="504">
        <v>864</v>
      </c>
      <c r="I21" s="502">
        <v>15</v>
      </c>
      <c r="J21" s="502"/>
      <c r="K21" s="502"/>
      <c r="L21" s="505">
        <f t="shared" si="1"/>
        <v>799.23599999999988</v>
      </c>
      <c r="M21" s="529" t="s">
        <v>43</v>
      </c>
    </row>
    <row r="22" spans="1:17" ht="22.5" customHeight="1" thickBot="1" x14ac:dyDescent="0.3">
      <c r="A22" s="160"/>
      <c r="B22" s="161"/>
      <c r="C22" s="162"/>
      <c r="D22" s="162"/>
      <c r="E22" s="162"/>
      <c r="F22" s="1185" t="s">
        <v>120</v>
      </c>
      <c r="G22" s="1186"/>
      <c r="H22" s="1186"/>
      <c r="I22" s="1186"/>
      <c r="J22" s="1186"/>
      <c r="K22" s="1253"/>
      <c r="L22" s="163"/>
      <c r="M22" s="529"/>
    </row>
    <row r="23" spans="1:17" ht="22.5" customHeight="1" x14ac:dyDescent="0.25">
      <c r="A23" s="19"/>
      <c r="B23" s="1189"/>
      <c r="C23" s="1190"/>
      <c r="D23" s="1190"/>
      <c r="E23" s="1190"/>
      <c r="F23" s="1206" t="s">
        <v>80</v>
      </c>
      <c r="G23" s="1207"/>
      <c r="H23" s="1208"/>
      <c r="I23" s="1234" t="s">
        <v>51</v>
      </c>
      <c r="J23" s="1235"/>
      <c r="K23" s="104" t="s">
        <v>52</v>
      </c>
      <c r="L23" s="105"/>
      <c r="M23" s="529"/>
    </row>
    <row r="24" spans="1:17" x14ac:dyDescent="0.25">
      <c r="A24" s="14"/>
      <c r="B24" s="928"/>
      <c r="C24" s="929"/>
      <c r="D24" s="929"/>
      <c r="E24" s="929"/>
      <c r="F24" s="1228" t="s">
        <v>107</v>
      </c>
      <c r="G24" s="1229"/>
      <c r="H24" s="1230"/>
      <c r="I24" s="1209" t="s">
        <v>30</v>
      </c>
      <c r="J24" s="1210"/>
      <c r="K24" s="106">
        <f>SUM(L4:L20)</f>
        <v>25164.176226760002</v>
      </c>
      <c r="L24" s="107"/>
      <c r="M24" s="529"/>
      <c r="O24" s="23"/>
    </row>
    <row r="25" spans="1:17" ht="15.75" thickBot="1" x14ac:dyDescent="0.3">
      <c r="A25" s="18"/>
      <c r="B25" s="964"/>
      <c r="C25" s="965"/>
      <c r="D25" s="965"/>
      <c r="E25" s="965"/>
      <c r="F25" s="1225" t="s">
        <v>298</v>
      </c>
      <c r="G25" s="1226"/>
      <c r="H25" s="1227"/>
      <c r="I25" s="1209"/>
      <c r="J25" s="1210"/>
      <c r="K25" s="106"/>
      <c r="L25" s="107"/>
      <c r="M25" s="529"/>
    </row>
    <row r="26" spans="1:17" x14ac:dyDescent="0.25">
      <c r="A26" s="17"/>
      <c r="B26" s="928"/>
      <c r="C26" s="929"/>
      <c r="D26" s="929"/>
      <c r="E26" s="929"/>
      <c r="F26" s="1220" t="s">
        <v>107</v>
      </c>
      <c r="G26" s="1221"/>
      <c r="H26" s="1222"/>
      <c r="I26" s="1209" t="s">
        <v>29</v>
      </c>
      <c r="J26" s="1210"/>
      <c r="K26" s="106">
        <f>G45</f>
        <v>190.02320399999999</v>
      </c>
      <c r="L26" s="107"/>
      <c r="M26" s="529"/>
      <c r="Q26" t="s">
        <v>102</v>
      </c>
    </row>
    <row r="27" spans="1:17" x14ac:dyDescent="0.25">
      <c r="A27" s="17"/>
      <c r="B27" s="1223"/>
      <c r="C27" s="1224"/>
      <c r="D27" s="1224"/>
      <c r="E27" s="1224"/>
      <c r="F27" s="1220" t="s">
        <v>115</v>
      </c>
      <c r="G27" s="1221"/>
      <c r="H27" s="1222"/>
      <c r="I27" s="1209" t="s">
        <v>30</v>
      </c>
      <c r="J27" s="1210"/>
      <c r="K27" s="141">
        <f>$L$21</f>
        <v>799.23599999999988</v>
      </c>
      <c r="L27" s="107"/>
      <c r="M27" s="529"/>
    </row>
    <row r="28" spans="1:17" x14ac:dyDescent="0.25">
      <c r="A28" s="17"/>
      <c r="B28" s="928"/>
      <c r="C28" s="929"/>
      <c r="D28" s="929"/>
      <c r="E28" s="929"/>
      <c r="F28" s="1220" t="s">
        <v>108</v>
      </c>
      <c r="G28" s="1221"/>
      <c r="H28" s="1222"/>
      <c r="I28" s="1209" t="s">
        <v>30</v>
      </c>
      <c r="J28" s="1210"/>
      <c r="K28" s="106">
        <f>L38*O38+L40*O40</f>
        <v>344</v>
      </c>
      <c r="L28" s="107"/>
      <c r="M28" s="529"/>
    </row>
    <row r="29" spans="1:17" x14ac:dyDescent="0.25">
      <c r="A29" s="17"/>
      <c r="B29" s="928"/>
      <c r="C29" s="929"/>
      <c r="D29" s="929"/>
      <c r="E29" s="929"/>
      <c r="F29" s="1220" t="s">
        <v>109</v>
      </c>
      <c r="G29" s="1221"/>
      <c r="H29" s="1222"/>
      <c r="I29" s="1209" t="s">
        <v>29</v>
      </c>
      <c r="J29" s="1210"/>
      <c r="K29" s="106">
        <f>G38</f>
        <v>34.241512</v>
      </c>
      <c r="L29" s="107"/>
      <c r="M29" s="529" t="s">
        <v>43</v>
      </c>
    </row>
    <row r="30" spans="1:17" ht="15.75" thickBot="1" x14ac:dyDescent="0.3">
      <c r="A30" s="17"/>
      <c r="B30" s="1020"/>
      <c r="C30" s="1021"/>
      <c r="D30" s="1021"/>
      <c r="E30" s="1021"/>
      <c r="F30" s="1211" t="s">
        <v>353</v>
      </c>
      <c r="G30" s="1212"/>
      <c r="H30" s="1213"/>
      <c r="I30" s="1199" t="s">
        <v>45</v>
      </c>
      <c r="J30" s="1200"/>
      <c r="K30" s="108">
        <f>F51</f>
        <v>160</v>
      </c>
      <c r="L30" s="107"/>
      <c r="M30" s="529"/>
    </row>
    <row r="31" spans="1:17" ht="15.75" thickBot="1" x14ac:dyDescent="0.3">
      <c r="A31" s="17"/>
      <c r="B31" s="17"/>
      <c r="C31" s="17"/>
      <c r="D31" s="17"/>
      <c r="E31" s="17"/>
      <c r="L31" s="17"/>
    </row>
    <row r="32" spans="1:17" ht="15.75" thickBot="1" x14ac:dyDescent="0.3">
      <c r="A32" s="17"/>
      <c r="B32" s="17"/>
      <c r="C32" s="17"/>
      <c r="D32" s="17"/>
      <c r="E32" s="17"/>
      <c r="F32" s="1039" t="s">
        <v>129</v>
      </c>
      <c r="G32" s="1217"/>
      <c r="H32" s="1040"/>
      <c r="I32" s="1231" t="s">
        <v>29</v>
      </c>
      <c r="J32" s="1232"/>
      <c r="K32" s="139">
        <f>(K24/K33)</f>
        <v>3.2056275448101914</v>
      </c>
      <c r="L32" s="17"/>
    </row>
    <row r="33" spans="1:16" ht="15.75" thickBot="1" x14ac:dyDescent="0.3">
      <c r="A33" s="17"/>
      <c r="B33" s="17"/>
      <c r="C33" s="17"/>
      <c r="D33" s="17"/>
      <c r="E33" s="17"/>
      <c r="F33" s="140" t="s">
        <v>130</v>
      </c>
      <c r="G33" s="133"/>
      <c r="H33" s="134"/>
      <c r="I33" s="131" t="s">
        <v>128</v>
      </c>
      <c r="J33" s="132"/>
      <c r="K33" s="53">
        <v>7850</v>
      </c>
      <c r="L33" s="17"/>
    </row>
    <row r="36" spans="1:16" ht="15.75" thickBot="1" x14ac:dyDescent="0.3"/>
    <row r="37" spans="1:16" x14ac:dyDescent="0.25">
      <c r="C37" s="510" t="s">
        <v>81</v>
      </c>
      <c r="D37" s="511"/>
      <c r="E37" s="511" t="s">
        <v>40</v>
      </c>
      <c r="F37" s="511" t="s">
        <v>83</v>
      </c>
      <c r="G37" s="508" t="s">
        <v>285</v>
      </c>
      <c r="H37" s="308"/>
      <c r="K37" s="1077" t="s">
        <v>251</v>
      </c>
      <c r="L37" s="1077"/>
      <c r="M37" s="1077"/>
      <c r="N37" s="1078"/>
      <c r="O37" s="1" t="s">
        <v>253</v>
      </c>
    </row>
    <row r="38" spans="1:16" x14ac:dyDescent="0.25">
      <c r="C38" s="1214">
        <v>0.04</v>
      </c>
      <c r="D38" s="506"/>
      <c r="E38" s="506">
        <v>428.52600000000001</v>
      </c>
      <c r="F38" s="506">
        <f>E38*$C$38</f>
        <v>17.14104</v>
      </c>
      <c r="G38" s="1218">
        <f>F38+F39</f>
        <v>34.241512</v>
      </c>
      <c r="H38" s="925" t="s">
        <v>43</v>
      </c>
      <c r="L38" s="1">
        <v>5.6</v>
      </c>
      <c r="M38" s="541"/>
      <c r="N38" s="1"/>
      <c r="O38" s="1">
        <f>(2*4)*5</f>
        <v>40</v>
      </c>
      <c r="P38" s="92" t="s">
        <v>43</v>
      </c>
    </row>
    <row r="39" spans="1:16" ht="15.75" thickBot="1" x14ac:dyDescent="0.3">
      <c r="C39" s="1215"/>
      <c r="D39" s="507"/>
      <c r="E39" s="507">
        <v>427.51179999999999</v>
      </c>
      <c r="F39" s="506">
        <f>E39*$C$38</f>
        <v>17.100472</v>
      </c>
      <c r="G39" s="1219"/>
      <c r="H39" s="925"/>
      <c r="K39" s="1236" t="s">
        <v>252</v>
      </c>
      <c r="L39" s="1236"/>
      <c r="M39" s="1236"/>
      <c r="N39" s="1237"/>
      <c r="O39" s="1"/>
      <c r="P39" s="92"/>
    </row>
    <row r="40" spans="1:16" x14ac:dyDescent="0.25">
      <c r="C40" s="510" t="s">
        <v>81</v>
      </c>
      <c r="D40" s="511"/>
      <c r="E40" s="511" t="s">
        <v>40</v>
      </c>
      <c r="F40" s="511" t="s">
        <v>141</v>
      </c>
      <c r="G40" s="509"/>
      <c r="H40" s="308"/>
      <c r="L40" s="1">
        <v>1.5</v>
      </c>
      <c r="M40" s="541"/>
      <c r="N40" s="1"/>
      <c r="O40" s="1">
        <f>(4*4)*5</f>
        <v>80</v>
      </c>
      <c r="P40" s="92" t="s">
        <v>43</v>
      </c>
    </row>
    <row r="41" spans="1:16" x14ac:dyDescent="0.25">
      <c r="C41" s="1214">
        <v>0.18</v>
      </c>
      <c r="D41" s="506"/>
      <c r="E41" s="506">
        <v>428.52600000000001</v>
      </c>
      <c r="F41" s="506">
        <f>E41*$C$41</f>
        <v>77.134680000000003</v>
      </c>
      <c r="G41" s="1218">
        <f>F41+F42</f>
        <v>154.086804</v>
      </c>
      <c r="H41" s="1216" t="s">
        <v>43</v>
      </c>
    </row>
    <row r="42" spans="1:16" ht="15.75" thickBot="1" x14ac:dyDescent="0.3">
      <c r="C42" s="1215"/>
      <c r="D42" s="507"/>
      <c r="E42" s="507">
        <v>427.51179999999999</v>
      </c>
      <c r="F42" s="506">
        <f>E42*$C$41</f>
        <v>76.952123999999998</v>
      </c>
      <c r="G42" s="1219"/>
      <c r="H42" s="925"/>
    </row>
    <row r="43" spans="1:16" ht="15.75" thickBot="1" x14ac:dyDescent="0.3">
      <c r="C43" s="512" t="s">
        <v>81</v>
      </c>
      <c r="D43" s="513" t="s">
        <v>40</v>
      </c>
      <c r="E43" s="513" t="s">
        <v>97</v>
      </c>
      <c r="F43" s="513" t="s">
        <v>142</v>
      </c>
      <c r="G43" s="514"/>
      <c r="H43" s="925"/>
    </row>
    <row r="44" spans="1:16" ht="15.75" thickBot="1" x14ac:dyDescent="0.3">
      <c r="C44" s="519">
        <v>0.3</v>
      </c>
      <c r="D44" s="516">
        <v>2.9946999999999999</v>
      </c>
      <c r="E44" s="518">
        <f>8*5</f>
        <v>40</v>
      </c>
      <c r="F44" s="516">
        <f>D44*E44*$C$44</f>
        <v>35.936399999999999</v>
      </c>
      <c r="G44" s="517">
        <f>F44</f>
        <v>35.936399999999999</v>
      </c>
      <c r="H44" s="925"/>
    </row>
    <row r="45" spans="1:16" ht="15.75" thickBot="1" x14ac:dyDescent="0.3">
      <c r="C45" s="515"/>
      <c r="D45" s="516"/>
      <c r="E45" s="516"/>
      <c r="F45" s="520" t="s">
        <v>285</v>
      </c>
      <c r="G45" s="521">
        <f>SUM(G41:G44)</f>
        <v>190.02320399999999</v>
      </c>
      <c r="H45" s="925"/>
    </row>
    <row r="48" spans="1:16" x14ac:dyDescent="0.25">
      <c r="C48" t="s">
        <v>170</v>
      </c>
    </row>
    <row r="50" spans="3:7" x14ac:dyDescent="0.25">
      <c r="C50" s="1" t="s">
        <v>171</v>
      </c>
      <c r="D50" s="996" t="s">
        <v>172</v>
      </c>
      <c r="E50" s="996"/>
      <c r="F50" s="1" t="s">
        <v>152</v>
      </c>
    </row>
    <row r="51" spans="3:7" x14ac:dyDescent="0.25">
      <c r="C51" s="81">
        <v>5</v>
      </c>
      <c r="D51" s="996">
        <v>32</v>
      </c>
      <c r="E51" s="996"/>
      <c r="F51" s="1">
        <f>C51*D51</f>
        <v>160</v>
      </c>
      <c r="G51" s="92" t="s">
        <v>43</v>
      </c>
    </row>
    <row r="53" spans="3:7" x14ac:dyDescent="0.25">
      <c r="C53" s="2"/>
      <c r="D53" s="2"/>
      <c r="E53" s="2"/>
      <c r="F53" s="2"/>
    </row>
    <row r="54" spans="3:7" x14ac:dyDescent="0.25">
      <c r="C54" s="2"/>
      <c r="D54" s="2"/>
      <c r="E54" s="2"/>
      <c r="F54" s="2"/>
    </row>
  </sheetData>
  <mergeCells count="50">
    <mergeCell ref="D51:E51"/>
    <mergeCell ref="B29:E29"/>
    <mergeCell ref="F29:H29"/>
    <mergeCell ref="I29:J29"/>
    <mergeCell ref="B30:E30"/>
    <mergeCell ref="F30:H30"/>
    <mergeCell ref="I30:J30"/>
    <mergeCell ref="F32:H32"/>
    <mergeCell ref="I32:J32"/>
    <mergeCell ref="D50:E50"/>
    <mergeCell ref="B26:E26"/>
    <mergeCell ref="F26:H26"/>
    <mergeCell ref="I26:J26"/>
    <mergeCell ref="C41:C42"/>
    <mergeCell ref="G41:G42"/>
    <mergeCell ref="H41:H45"/>
    <mergeCell ref="B27:E27"/>
    <mergeCell ref="F27:H27"/>
    <mergeCell ref="I27:J27"/>
    <mergeCell ref="B28:E28"/>
    <mergeCell ref="F28:H28"/>
    <mergeCell ref="I28:J28"/>
    <mergeCell ref="B25:E25"/>
    <mergeCell ref="F25:H25"/>
    <mergeCell ref="I25:J25"/>
    <mergeCell ref="A15:A21"/>
    <mergeCell ref="F15:G16"/>
    <mergeCell ref="F17:G17"/>
    <mergeCell ref="F18:G18"/>
    <mergeCell ref="F20:G20"/>
    <mergeCell ref="F22:K22"/>
    <mergeCell ref="B23:E23"/>
    <mergeCell ref="F23:H23"/>
    <mergeCell ref="I23:J23"/>
    <mergeCell ref="B24:E24"/>
    <mergeCell ref="F24:H24"/>
    <mergeCell ref="I24:J24"/>
    <mergeCell ref="A1:L1"/>
    <mergeCell ref="A4:A14"/>
    <mergeCell ref="B5:B7"/>
    <mergeCell ref="C6:D6"/>
    <mergeCell ref="C7:E7"/>
    <mergeCell ref="B10:B12"/>
    <mergeCell ref="C11:D11"/>
    <mergeCell ref="C12:E12"/>
    <mergeCell ref="K37:N37"/>
    <mergeCell ref="C38:C39"/>
    <mergeCell ref="G38:G39"/>
    <mergeCell ref="H38:H39"/>
    <mergeCell ref="K39:N39"/>
  </mergeCells>
  <pageMargins left="0.7" right="0.7" top="0.75" bottom="0.75" header="0.3" footer="0.3"/>
  <pageSetup orientation="portrait" r:id="rId1"/>
  <drawing r:id="rId2"/>
  <legacyDrawing r:id="rId3"/>
  <oleObjects>
    <mc:AlternateContent xmlns:mc="http://schemas.openxmlformats.org/markup-compatibility/2006">
      <mc:Choice Requires="x14">
        <oleObject progId="AutoCAD.Drawing.19" shapeId="120833" r:id="rId4">
          <objectPr defaultSize="0" autoPict="0" r:id="rId5">
            <anchor moveWithCells="1">
              <from>
                <xdr:col>5</xdr:col>
                <xdr:colOff>123825</xdr:colOff>
                <xdr:row>8</xdr:row>
                <xdr:rowOff>9525</xdr:rowOff>
              </from>
              <to>
                <xdr:col>6</xdr:col>
                <xdr:colOff>95250</xdr:colOff>
                <xdr:row>12</xdr:row>
                <xdr:rowOff>57150</xdr:rowOff>
              </to>
            </anchor>
          </objectPr>
        </oleObject>
      </mc:Choice>
      <mc:Fallback>
        <oleObject progId="AutoCAD.Drawing.19" shapeId="120833" r:id="rId4"/>
      </mc:Fallback>
    </mc:AlternateContent>
    <mc:AlternateContent xmlns:mc="http://schemas.openxmlformats.org/markup-compatibility/2006">
      <mc:Choice Requires="x14">
        <oleObject progId="AutoCAD.Drawing.19" shapeId="120834" r:id="rId6">
          <objectPr defaultSize="0" autoPict="0" r:id="rId7">
            <anchor moveWithCells="1">
              <from>
                <xdr:col>5</xdr:col>
                <xdr:colOff>666750</xdr:colOff>
                <xdr:row>20</xdr:row>
                <xdr:rowOff>95250</xdr:rowOff>
              </from>
              <to>
                <xdr:col>6</xdr:col>
                <xdr:colOff>19050</xdr:colOff>
                <xdr:row>20</xdr:row>
                <xdr:rowOff>1095375</xdr:rowOff>
              </to>
            </anchor>
          </objectPr>
        </oleObject>
      </mc:Choice>
      <mc:Fallback>
        <oleObject progId="AutoCAD.Drawing.19" shapeId="120834" r:id="rId6"/>
      </mc:Fallback>
    </mc:AlternateContent>
    <mc:AlternateContent xmlns:mc="http://schemas.openxmlformats.org/markup-compatibility/2006">
      <mc:Choice Requires="x14">
        <oleObject progId="AutoCAD.Drawing.19" shapeId="120835" r:id="rId8">
          <objectPr defaultSize="0" autoPict="0" r:id="rId9">
            <anchor moveWithCells="1">
              <from>
                <xdr:col>5</xdr:col>
                <xdr:colOff>866775</xdr:colOff>
                <xdr:row>14</xdr:row>
                <xdr:rowOff>114300</xdr:rowOff>
              </from>
              <to>
                <xdr:col>5</xdr:col>
                <xdr:colOff>2771775</xdr:colOff>
                <xdr:row>15</xdr:row>
                <xdr:rowOff>314325</xdr:rowOff>
              </to>
            </anchor>
          </objectPr>
        </oleObject>
      </mc:Choice>
      <mc:Fallback>
        <oleObject progId="AutoCAD.Drawing.19" shapeId="120835" r:id="rId8"/>
      </mc:Fallback>
    </mc:AlternateContent>
    <mc:AlternateContent xmlns:mc="http://schemas.openxmlformats.org/markup-compatibility/2006">
      <mc:Choice Requires="x14">
        <oleObject progId="AutoCAD.Drawing.19" shapeId="120837" r:id="rId10">
          <objectPr defaultSize="0" autoPict="0" r:id="rId11">
            <anchor moveWithCells="1">
              <from>
                <xdr:col>5</xdr:col>
                <xdr:colOff>1133475</xdr:colOff>
                <xdr:row>17</xdr:row>
                <xdr:rowOff>104775</xdr:rowOff>
              </from>
              <to>
                <xdr:col>5</xdr:col>
                <xdr:colOff>2505075</xdr:colOff>
                <xdr:row>17</xdr:row>
                <xdr:rowOff>1533525</xdr:rowOff>
              </to>
            </anchor>
          </objectPr>
        </oleObject>
      </mc:Choice>
      <mc:Fallback>
        <oleObject progId="AutoCAD.Drawing.19" shapeId="120837" r:id="rId10"/>
      </mc:Fallback>
    </mc:AlternateContent>
    <mc:AlternateContent xmlns:mc="http://schemas.openxmlformats.org/markup-compatibility/2006">
      <mc:Choice Requires="x14">
        <oleObject progId="AutoCAD.Drawing.19" shapeId="120838" r:id="rId12">
          <objectPr defaultSize="0" autoPict="0" r:id="rId13">
            <anchor moveWithCells="1">
              <from>
                <xdr:col>5</xdr:col>
                <xdr:colOff>847725</xdr:colOff>
                <xdr:row>16</xdr:row>
                <xdr:rowOff>0</xdr:rowOff>
              </from>
              <to>
                <xdr:col>5</xdr:col>
                <xdr:colOff>2686050</xdr:colOff>
                <xdr:row>17</xdr:row>
                <xdr:rowOff>76200</xdr:rowOff>
              </to>
            </anchor>
          </objectPr>
        </oleObject>
      </mc:Choice>
      <mc:Fallback>
        <oleObject progId="AutoCAD.Drawing.19" shapeId="120838" r:id="rId12"/>
      </mc:Fallback>
    </mc:AlternateContent>
    <mc:AlternateContent xmlns:mc="http://schemas.openxmlformats.org/markup-compatibility/2006">
      <mc:Choice Requires="x14">
        <oleObject progId="AutoCAD.Drawing.19" shapeId="120839" r:id="rId14">
          <objectPr defaultSize="0" autoPict="0" r:id="rId15">
            <anchor moveWithCells="1">
              <from>
                <xdr:col>5</xdr:col>
                <xdr:colOff>1438275</xdr:colOff>
                <xdr:row>18</xdr:row>
                <xdr:rowOff>76200</xdr:rowOff>
              </from>
              <to>
                <xdr:col>5</xdr:col>
                <xdr:colOff>2457450</xdr:colOff>
                <xdr:row>18</xdr:row>
                <xdr:rowOff>1533525</xdr:rowOff>
              </to>
            </anchor>
          </objectPr>
        </oleObject>
      </mc:Choice>
      <mc:Fallback>
        <oleObject progId="AutoCAD.Drawing.19" shapeId="120839" r:id="rId1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54"/>
  <sheetViews>
    <sheetView showGridLines="0" topLeftCell="D21" zoomScaleNormal="100" workbookViewId="0">
      <selection sqref="A1:L30"/>
    </sheetView>
  </sheetViews>
  <sheetFormatPr baseColWidth="10" defaultRowHeight="15" x14ac:dyDescent="0.25"/>
  <cols>
    <col min="1" max="1" width="6" customWidth="1"/>
    <col min="2" max="2" width="9.7109375" customWidth="1"/>
    <col min="4" max="4" width="9.140625" customWidth="1"/>
    <col min="5" max="5" width="13.140625" customWidth="1"/>
    <col min="6" max="6" width="45.140625" customWidth="1"/>
    <col min="7" max="9" width="7.5703125" customWidth="1"/>
    <col min="10" max="10" width="8.85546875" customWidth="1"/>
    <col min="11" max="11" width="10.85546875" customWidth="1"/>
    <col min="12" max="12" width="11.42578125" customWidth="1"/>
    <col min="13" max="13" width="5.140625" style="92" customWidth="1"/>
    <col min="14" max="14" width="3.42578125" customWidth="1"/>
    <col min="15" max="15" width="15.85546875" customWidth="1"/>
    <col min="16" max="16" width="7.7109375" customWidth="1"/>
    <col min="17" max="17" width="8.85546875" customWidth="1"/>
  </cols>
  <sheetData>
    <row r="1" spans="1:21" ht="19.5" thickBot="1" x14ac:dyDescent="0.35">
      <c r="A1" s="1163" t="s">
        <v>358</v>
      </c>
      <c r="B1" s="1164"/>
      <c r="C1" s="1164"/>
      <c r="D1" s="1164"/>
      <c r="E1" s="1164"/>
      <c r="F1" s="1164"/>
      <c r="G1" s="1164"/>
      <c r="H1" s="1164"/>
      <c r="I1" s="1164"/>
      <c r="J1" s="1164"/>
      <c r="K1" s="1164"/>
      <c r="L1" s="1165"/>
    </row>
    <row r="2" spans="1:21" x14ac:dyDescent="0.25">
      <c r="A2" s="12"/>
      <c r="B2" s="10"/>
      <c r="C2" s="10"/>
      <c r="D2" s="10"/>
      <c r="E2" s="10"/>
      <c r="F2" s="10"/>
      <c r="G2" s="10"/>
      <c r="H2" s="10"/>
      <c r="I2" s="10"/>
      <c r="J2" s="10"/>
      <c r="K2" s="10"/>
      <c r="L2" s="13"/>
    </row>
    <row r="3" spans="1:21" ht="15.75" thickBot="1" x14ac:dyDescent="0.3">
      <c r="A3" s="14" t="s">
        <v>0</v>
      </c>
      <c r="B3" s="8" t="s">
        <v>1</v>
      </c>
      <c r="C3" s="8" t="s">
        <v>2</v>
      </c>
      <c r="D3" s="8" t="s">
        <v>3</v>
      </c>
      <c r="E3" s="8" t="s">
        <v>4</v>
      </c>
      <c r="F3" s="210" t="s">
        <v>5</v>
      </c>
      <c r="G3" s="210"/>
      <c r="H3" s="8" t="s">
        <v>7</v>
      </c>
      <c r="I3" s="8" t="s">
        <v>8</v>
      </c>
      <c r="J3" s="8" t="s">
        <v>28</v>
      </c>
      <c r="K3" s="15" t="s">
        <v>44</v>
      </c>
      <c r="L3" s="16" t="s">
        <v>9</v>
      </c>
      <c r="M3" s="327"/>
    </row>
    <row r="4" spans="1:21" ht="24.75" customHeight="1" thickBot="1" x14ac:dyDescent="0.3">
      <c r="A4" s="1238" t="s">
        <v>33</v>
      </c>
      <c r="B4" s="467" t="s">
        <v>255</v>
      </c>
      <c r="C4" s="469" t="s">
        <v>244</v>
      </c>
      <c r="D4" s="248">
        <f>(139*2)+(139*2)</f>
        <v>556</v>
      </c>
      <c r="E4" s="272">
        <f>H4+(I4*2)+(J4*2)</f>
        <v>1055.03</v>
      </c>
      <c r="F4" s="55"/>
      <c r="G4" s="58"/>
      <c r="H4" s="278">
        <f>1049.03-(2*5)-(2*VLOOKUP(C4,$Q$5:$U$11,4,FALSE))</f>
        <v>1027.03</v>
      </c>
      <c r="I4" s="249">
        <v>5</v>
      </c>
      <c r="J4" s="249">
        <f>VLOOKUP(C4,$Q$5:$U$11,5,FALSE)</f>
        <v>9</v>
      </c>
      <c r="K4" s="248"/>
      <c r="L4" s="104">
        <f>(E4/100)*D4*VLOOKUP(C4,$Q$5:$U$11,3,FALSE)</f>
        <v>9092.2485400000005</v>
      </c>
      <c r="M4" s="525" t="s">
        <v>43</v>
      </c>
      <c r="O4" t="s">
        <v>242</v>
      </c>
      <c r="Q4" s="238" t="s">
        <v>19</v>
      </c>
      <c r="R4" s="239" t="s">
        <v>20</v>
      </c>
      <c r="S4" s="239" t="s">
        <v>25</v>
      </c>
      <c r="T4" s="240" t="s">
        <v>311</v>
      </c>
      <c r="U4" s="241" t="s">
        <v>312</v>
      </c>
    </row>
    <row r="5" spans="1:21" ht="24.75" customHeight="1" thickBot="1" x14ac:dyDescent="0.3">
      <c r="A5" s="1167"/>
      <c r="B5" s="1181" t="s">
        <v>254</v>
      </c>
      <c r="C5" s="533" t="s">
        <v>244</v>
      </c>
      <c r="D5" s="536">
        <f>((14+15)+(14+15))</f>
        <v>58</v>
      </c>
      <c r="E5" s="537">
        <f>H5+(I5*2)+(J5*2)</f>
        <v>1035</v>
      </c>
      <c r="F5" s="56"/>
      <c r="G5" s="114" t="s">
        <v>31</v>
      </c>
      <c r="H5" s="280">
        <f>1035-(2*5)-(2*VLOOKUP(C5,$Q$5:$U$11,4,FALSE))</f>
        <v>1013</v>
      </c>
      <c r="I5" s="536">
        <v>5</v>
      </c>
      <c r="J5" s="536">
        <v>6</v>
      </c>
      <c r="K5" s="536"/>
      <c r="L5" s="538">
        <f>((((E5+E6)/2)/100)*D5*VLOOKUP(C5,$Q$5:$U$11,3,FALSE))*O5</f>
        <v>992.49599999999998</v>
      </c>
      <c r="M5" s="525" t="s">
        <v>43</v>
      </c>
      <c r="O5" s="148">
        <v>2</v>
      </c>
      <c r="Q5" s="235" t="s">
        <v>243</v>
      </c>
      <c r="R5" s="236" t="s">
        <v>21</v>
      </c>
      <c r="S5" s="262">
        <v>0.55700000000000005</v>
      </c>
      <c r="T5" s="237">
        <f>ROUNDUP((3/8*2.54*3.5),0)</f>
        <v>4</v>
      </c>
      <c r="U5" s="260">
        <f>ROUND(+PI()*T5*2/4,0)</f>
        <v>6</v>
      </c>
    </row>
    <row r="6" spans="1:21" ht="24.75" customHeight="1" thickBot="1" x14ac:dyDescent="0.3">
      <c r="A6" s="1167"/>
      <c r="B6" s="1181"/>
      <c r="C6" s="1018"/>
      <c r="D6" s="1018"/>
      <c r="E6" s="537">
        <f>H6+(I6*2)+(J6*2)</f>
        <v>69</v>
      </c>
      <c r="F6" s="56"/>
      <c r="G6" s="114" t="s">
        <v>32</v>
      </c>
      <c r="H6" s="280">
        <f>59-(2*VLOOKUP(C5,$Q$5:$U$11,4,FALSE))</f>
        <v>47</v>
      </c>
      <c r="I6" s="536">
        <v>5</v>
      </c>
      <c r="J6" s="536">
        <v>6</v>
      </c>
      <c r="K6" s="536"/>
      <c r="L6" s="538"/>
      <c r="M6" s="525"/>
      <c r="Q6" s="526" t="s">
        <v>18</v>
      </c>
      <c r="R6" s="220" t="s">
        <v>22</v>
      </c>
      <c r="S6" s="263">
        <v>0.996</v>
      </c>
      <c r="T6" s="522">
        <f>ROUNDUP((4/8*2.54*3.5),0)</f>
        <v>5</v>
      </c>
      <c r="U6" s="259">
        <f t="shared" ref="U6:U11" si="0">ROUND(+PI()*T6*2/4,0)</f>
        <v>8</v>
      </c>
    </row>
    <row r="7" spans="1:21" ht="24.75" customHeight="1" thickBot="1" x14ac:dyDescent="0.3">
      <c r="A7" s="1167"/>
      <c r="B7" s="1181"/>
      <c r="C7" s="1018" t="str">
        <f>CONCATENATE(O5," juegos de ",D5," vars.")</f>
        <v>2 juegos de 58 vars.</v>
      </c>
      <c r="D7" s="1018"/>
      <c r="E7" s="1019"/>
      <c r="F7" s="56"/>
      <c r="G7" s="114" t="s">
        <v>88</v>
      </c>
      <c r="H7" s="439">
        <f>(H5-H6)/(D5-1)</f>
        <v>16.94736842105263</v>
      </c>
      <c r="I7" s="536"/>
      <c r="J7" s="536"/>
      <c r="K7" s="536"/>
      <c r="L7" s="538"/>
      <c r="M7" s="525"/>
      <c r="Q7" s="527" t="s">
        <v>244</v>
      </c>
      <c r="R7" s="231" t="s">
        <v>23</v>
      </c>
      <c r="S7" s="262">
        <v>1.55</v>
      </c>
      <c r="T7" s="232">
        <f>ROUNDUP((5/8*2.54*3.5),0)</f>
        <v>6</v>
      </c>
      <c r="U7" s="261">
        <f t="shared" si="0"/>
        <v>9</v>
      </c>
    </row>
    <row r="8" spans="1:21" ht="24.75" customHeight="1" thickBot="1" x14ac:dyDescent="0.3">
      <c r="A8" s="1167"/>
      <c r="B8" s="539" t="s">
        <v>140</v>
      </c>
      <c r="C8" s="533" t="s">
        <v>18</v>
      </c>
      <c r="D8" s="536">
        <f>44*2</f>
        <v>88</v>
      </c>
      <c r="E8" s="537">
        <f>H8+(I8*2)+(J8*2)</f>
        <v>300</v>
      </c>
      <c r="F8" s="56"/>
      <c r="G8" s="115"/>
      <c r="H8" s="539">
        <v>300</v>
      </c>
      <c r="I8" s="533"/>
      <c r="J8" s="533"/>
      <c r="K8" s="536"/>
      <c r="L8" s="538">
        <f>(E8/100)*D8*VLOOKUP(C8,$Q$5:$U$11,3,FALSE)</f>
        <v>262.94400000000002</v>
      </c>
      <c r="M8" s="525" t="s">
        <v>43</v>
      </c>
      <c r="Q8" s="526" t="s">
        <v>17</v>
      </c>
      <c r="R8" s="220" t="s">
        <v>24</v>
      </c>
      <c r="S8" s="263">
        <v>2.2349999999999999</v>
      </c>
      <c r="T8" s="522">
        <f>ROUNDUP((6/8*2.54*3.5),0)</f>
        <v>7</v>
      </c>
      <c r="U8" s="259">
        <f t="shared" si="0"/>
        <v>11</v>
      </c>
    </row>
    <row r="9" spans="1:21" ht="24.75" customHeight="1" thickBot="1" x14ac:dyDescent="0.3">
      <c r="A9" s="1167"/>
      <c r="B9" s="539" t="s">
        <v>263</v>
      </c>
      <c r="C9" s="533" t="s">
        <v>18</v>
      </c>
      <c r="D9" s="536">
        <f>(51*2)+(51*2)</f>
        <v>204</v>
      </c>
      <c r="E9" s="537">
        <f>H9+(I9*2)+(J9*2)</f>
        <v>3089.22</v>
      </c>
      <c r="F9" s="56"/>
      <c r="G9" s="103"/>
      <c r="H9" s="280">
        <f>3083.22-(2*5)-(2*VLOOKUP(C9,$Q$5:$U$11,4,FALSE))</f>
        <v>3063.22</v>
      </c>
      <c r="I9" s="533">
        <v>5</v>
      </c>
      <c r="J9" s="226">
        <f>VLOOKUP(C9,$Q$5:$U$11,5,FALSE)</f>
        <v>8</v>
      </c>
      <c r="K9" s="536"/>
      <c r="L9" s="538">
        <f>(E9/100)*D9*VLOOKUP(C9,$Q$5:$U$11,3,FALSE)</f>
        <v>6276.8007647999993</v>
      </c>
      <c r="M9" s="525" t="s">
        <v>43</v>
      </c>
      <c r="O9" t="s">
        <v>242</v>
      </c>
      <c r="Q9" s="527" t="s">
        <v>16</v>
      </c>
      <c r="R9" s="233">
        <v>1</v>
      </c>
      <c r="S9" s="262">
        <v>3.99</v>
      </c>
      <c r="T9" s="232">
        <f>ROUNDUP((8/8*2.54*3.5),0)</f>
        <v>9</v>
      </c>
      <c r="U9" s="260">
        <f t="shared" si="0"/>
        <v>14</v>
      </c>
    </row>
    <row r="10" spans="1:21" ht="24.75" customHeight="1" thickBot="1" x14ac:dyDescent="0.3">
      <c r="A10" s="1167"/>
      <c r="B10" s="1181" t="s">
        <v>270</v>
      </c>
      <c r="C10" s="536" t="s">
        <v>18</v>
      </c>
      <c r="D10" s="536">
        <v>4</v>
      </c>
      <c r="E10" s="537">
        <f>H10+(I10*2)+(J10*2)</f>
        <v>2266</v>
      </c>
      <c r="F10" s="56"/>
      <c r="G10" s="114" t="s">
        <v>31</v>
      </c>
      <c r="H10" s="280">
        <f>2250-(2*VLOOKUP(C10,$Q$5:$U$11,4,FALSE))</f>
        <v>2240</v>
      </c>
      <c r="I10" s="536">
        <v>5</v>
      </c>
      <c r="J10" s="226">
        <f>VLOOKUP(C10,$Q$5:$U$11,5,FALSE)</f>
        <v>8</v>
      </c>
      <c r="K10" s="536"/>
      <c r="L10" s="538">
        <f>((((E10+E11)/2)/100)*D10*VLOOKUP(C10,$Q$5:$U$11,3,FALSE))*O10</f>
        <v>130.95407999999998</v>
      </c>
      <c r="M10" s="525" t="s">
        <v>43</v>
      </c>
      <c r="O10" s="148">
        <v>2</v>
      </c>
      <c r="Q10" s="526" t="s">
        <v>290</v>
      </c>
      <c r="R10" s="221">
        <v>1.25</v>
      </c>
      <c r="S10" s="263">
        <v>6.2249999999999996</v>
      </c>
      <c r="T10" s="522">
        <f>ROUNDUP((10/8*2.54*3.5),0)</f>
        <v>12</v>
      </c>
      <c r="U10" s="259">
        <f t="shared" si="0"/>
        <v>19</v>
      </c>
    </row>
    <row r="11" spans="1:21" ht="24.75" customHeight="1" thickBot="1" x14ac:dyDescent="0.3">
      <c r="A11" s="1167"/>
      <c r="B11" s="1181"/>
      <c r="C11" s="1018"/>
      <c r="D11" s="1018"/>
      <c r="E11" s="537">
        <f>H11+(I11*2)+(J11*2)</f>
        <v>1021</v>
      </c>
      <c r="F11" s="56"/>
      <c r="G11" s="114" t="s">
        <v>32</v>
      </c>
      <c r="H11" s="280">
        <f>1005-(2*VLOOKUP(C10,$Q$5:$U$11,4,FALSE))</f>
        <v>995</v>
      </c>
      <c r="I11" s="536">
        <v>5</v>
      </c>
      <c r="J11" s="226">
        <f>VLOOKUP(C10,$Q$5:$U$11,5,FALSE)</f>
        <v>8</v>
      </c>
      <c r="K11" s="536"/>
      <c r="L11" s="538"/>
      <c r="M11" s="525"/>
      <c r="Q11" s="527" t="s">
        <v>286</v>
      </c>
      <c r="R11" s="234">
        <v>1.5</v>
      </c>
      <c r="S11" s="262">
        <v>8.9380000000000006</v>
      </c>
      <c r="T11" s="232">
        <f>ROUNDUP((12/8*2.54*3.5),0)</f>
        <v>14</v>
      </c>
      <c r="U11" s="258">
        <f t="shared" si="0"/>
        <v>22</v>
      </c>
    </row>
    <row r="12" spans="1:21" ht="24.75" customHeight="1" x14ac:dyDescent="0.25">
      <c r="A12" s="1167"/>
      <c r="B12" s="1181"/>
      <c r="C12" s="1018" t="str">
        <f>CONCATENATE(O10," juegos de ",D10," vars.")</f>
        <v>2 juegos de 4 vars.</v>
      </c>
      <c r="D12" s="1018"/>
      <c r="E12" s="1019"/>
      <c r="F12" s="56"/>
      <c r="G12" s="114" t="s">
        <v>88</v>
      </c>
      <c r="H12" s="439">
        <f>(H10-H11)/(D10-1)</f>
        <v>415</v>
      </c>
      <c r="I12" s="536"/>
      <c r="J12" s="536"/>
      <c r="K12" s="536"/>
      <c r="L12" s="538"/>
      <c r="M12" s="525"/>
      <c r="R12" s="11"/>
      <c r="S12" s="379"/>
      <c r="T12" s="11"/>
    </row>
    <row r="13" spans="1:21" ht="24.75" customHeight="1" x14ac:dyDescent="0.25">
      <c r="A13" s="1167"/>
      <c r="B13" s="539" t="s">
        <v>12</v>
      </c>
      <c r="C13" s="533" t="s">
        <v>18</v>
      </c>
      <c r="D13" s="536">
        <f>(8*4)*2</f>
        <v>64</v>
      </c>
      <c r="E13" s="537">
        <f>H13+(I13*2)+(J13*2)</f>
        <v>225</v>
      </c>
      <c r="F13" s="56"/>
      <c r="G13" s="59"/>
      <c r="H13" s="539">
        <v>225</v>
      </c>
      <c r="I13" s="533"/>
      <c r="J13" s="533"/>
      <c r="K13" s="536"/>
      <c r="L13" s="538">
        <f t="shared" ref="L13:L21" si="1">(E13/100)*D13*VLOOKUP(C13,$Q$5:$U$11,3,FALSE)</f>
        <v>143.42400000000001</v>
      </c>
      <c r="M13" s="525" t="s">
        <v>43</v>
      </c>
      <c r="R13" s="11"/>
      <c r="S13" s="379"/>
      <c r="T13" s="11"/>
    </row>
    <row r="14" spans="1:21" ht="24.75" customHeight="1" thickBot="1" x14ac:dyDescent="0.3">
      <c r="A14" s="1169"/>
      <c r="B14" s="497" t="s">
        <v>13</v>
      </c>
      <c r="C14" s="498" t="s">
        <v>18</v>
      </c>
      <c r="D14" s="159">
        <f>(8*4)*2</f>
        <v>64</v>
      </c>
      <c r="E14" s="165">
        <f>H14+(I14*2)+(J14*2)</f>
        <v>175</v>
      </c>
      <c r="F14" s="57"/>
      <c r="G14" s="60"/>
      <c r="H14" s="497">
        <v>175</v>
      </c>
      <c r="I14" s="164"/>
      <c r="J14" s="164"/>
      <c r="K14" s="159"/>
      <c r="L14" s="108">
        <f t="shared" si="1"/>
        <v>111.55199999999999</v>
      </c>
      <c r="M14" s="525" t="s">
        <v>43</v>
      </c>
      <c r="R14" s="496">
        <v>3075</v>
      </c>
      <c r="S14" s="78"/>
      <c r="T14" s="78"/>
    </row>
    <row r="15" spans="1:21" ht="46.5" customHeight="1" x14ac:dyDescent="0.25">
      <c r="A15" s="1241" t="s">
        <v>106</v>
      </c>
      <c r="B15" s="467" t="s">
        <v>37</v>
      </c>
      <c r="C15" s="468" t="s">
        <v>18</v>
      </c>
      <c r="D15" s="248">
        <f>((6*2)*8)*4</f>
        <v>384</v>
      </c>
      <c r="E15" s="272">
        <f>H15</f>
        <v>172</v>
      </c>
      <c r="F15" s="1239"/>
      <c r="G15" s="1240"/>
      <c r="H15" s="467">
        <v>172</v>
      </c>
      <c r="I15" s="469"/>
      <c r="J15" s="469"/>
      <c r="K15" s="469"/>
      <c r="L15" s="104">
        <f t="shared" si="1"/>
        <v>657.83807999999999</v>
      </c>
      <c r="M15" s="529" t="s">
        <v>43</v>
      </c>
    </row>
    <row r="16" spans="1:21" ht="46.5" customHeight="1" x14ac:dyDescent="0.25">
      <c r="A16" s="1242"/>
      <c r="B16" s="539" t="s">
        <v>38</v>
      </c>
      <c r="C16" s="146" t="s">
        <v>18</v>
      </c>
      <c r="D16" s="536">
        <f>(2*8)*4</f>
        <v>64</v>
      </c>
      <c r="E16" s="537">
        <f>H16</f>
        <v>98</v>
      </c>
      <c r="F16" s="1251"/>
      <c r="G16" s="1252"/>
      <c r="H16" s="539">
        <v>98</v>
      </c>
      <c r="I16" s="533"/>
      <c r="J16" s="533"/>
      <c r="K16" s="533"/>
      <c r="L16" s="538">
        <f t="shared" si="1"/>
        <v>62.469119999999997</v>
      </c>
      <c r="M16" s="529" t="s">
        <v>43</v>
      </c>
    </row>
    <row r="17" spans="1:17" ht="127.5" customHeight="1" x14ac:dyDescent="0.25">
      <c r="A17" s="1242"/>
      <c r="B17" s="539" t="s">
        <v>262</v>
      </c>
      <c r="C17" s="146" t="s">
        <v>18</v>
      </c>
      <c r="D17" s="536">
        <f>(4*8)*2</f>
        <v>64</v>
      </c>
      <c r="E17" s="537">
        <f>(H17*2)+(I17*2)+(J17*4)+K17</f>
        <v>530</v>
      </c>
      <c r="F17" s="1157"/>
      <c r="G17" s="1158"/>
      <c r="H17" s="539">
        <f>170-(2*VLOOKUP(C17,$Q$5:$U$11,4,FALSE))</f>
        <v>160</v>
      </c>
      <c r="I17" s="533">
        <f>24-(2*VLOOKUP(C17,$Q$5:$U$11,4,FALSE))</f>
        <v>14</v>
      </c>
      <c r="J17" s="226">
        <f>VLOOKUP(C17,$Q$5:$U$11,5,FALSE)</f>
        <v>8</v>
      </c>
      <c r="K17" s="533">
        <v>150</v>
      </c>
      <c r="L17" s="538">
        <f t="shared" si="1"/>
        <v>337.84319999999997</v>
      </c>
      <c r="M17" s="529" t="s">
        <v>43</v>
      </c>
      <c r="N17" s="523"/>
    </row>
    <row r="18" spans="1:17" ht="127.5" customHeight="1" x14ac:dyDescent="0.25">
      <c r="A18" s="1242"/>
      <c r="B18" s="539" t="s">
        <v>35</v>
      </c>
      <c r="C18" s="146" t="s">
        <v>18</v>
      </c>
      <c r="D18" s="536">
        <f>(4*8)*2</f>
        <v>64</v>
      </c>
      <c r="E18" s="537">
        <f>(H18*2)+(I18*2)+(J18*4)+(K18*2)</f>
        <v>480</v>
      </c>
      <c r="F18" s="1157"/>
      <c r="G18" s="1158"/>
      <c r="H18" s="539">
        <f>170-(2*VLOOKUP(C18,$Q$5:$U$11,4,FALSE))</f>
        <v>160</v>
      </c>
      <c r="I18" s="533">
        <f>24-(2*VLOOKUP(C18,$Q$5:$U$11,4,FALSE))</f>
        <v>14</v>
      </c>
      <c r="J18" s="226">
        <f>VLOOKUP(C18,$Q$5:$U$11,5,FALSE)</f>
        <v>8</v>
      </c>
      <c r="K18" s="533">
        <v>50</v>
      </c>
      <c r="L18" s="538">
        <f t="shared" si="1"/>
        <v>305.97120000000001</v>
      </c>
      <c r="M18" s="529" t="s">
        <v>43</v>
      </c>
    </row>
    <row r="19" spans="1:17" ht="127.5" customHeight="1" x14ac:dyDescent="0.25">
      <c r="A19" s="1242"/>
      <c r="B19" s="539" t="s">
        <v>36</v>
      </c>
      <c r="C19" s="146" t="s">
        <v>18</v>
      </c>
      <c r="D19" s="536">
        <f>(4*8)*4</f>
        <v>128</v>
      </c>
      <c r="E19" s="537">
        <f>(H19*2)+(I19*2)+(J19*5)+(K19*2)</f>
        <v>328</v>
      </c>
      <c r="F19" s="210"/>
      <c r="G19" s="211"/>
      <c r="H19" s="539">
        <f>((125+134+136+125)/4)-(2*VLOOKUP(C17,$Q$5:$U$11,4,FALSE))</f>
        <v>120</v>
      </c>
      <c r="I19" s="533">
        <f>24-(2*VLOOKUP(C19,$Q$5:$U$11,4,FALSE))</f>
        <v>14</v>
      </c>
      <c r="J19" s="226">
        <f>VLOOKUP(C19,$Q$5:$U$11,5,FALSE)</f>
        <v>8</v>
      </c>
      <c r="K19" s="533">
        <v>10</v>
      </c>
      <c r="L19" s="538">
        <f t="shared" si="1"/>
        <v>418.16064</v>
      </c>
      <c r="M19" s="529" t="s">
        <v>43</v>
      </c>
    </row>
    <row r="20" spans="1:17" ht="95.25" customHeight="1" thickBot="1" x14ac:dyDescent="0.3">
      <c r="A20" s="1242"/>
      <c r="B20" s="497" t="s">
        <v>15</v>
      </c>
      <c r="C20" s="498" t="s">
        <v>18</v>
      </c>
      <c r="D20" s="159">
        <f>(2*8)*4</f>
        <v>64</v>
      </c>
      <c r="E20" s="165">
        <f>H20+(I20*2)+26+28+4+4+4+4</f>
        <v>391</v>
      </c>
      <c r="F20" s="1157"/>
      <c r="G20" s="1158"/>
      <c r="H20" s="497">
        <v>123</v>
      </c>
      <c r="I20" s="164">
        <v>99</v>
      </c>
      <c r="J20" s="283">
        <f>VLOOKUP(C20,$Q$5:$U$11,5,FALSE)</f>
        <v>8</v>
      </c>
      <c r="K20" s="164"/>
      <c r="L20" s="108">
        <f t="shared" si="1"/>
        <v>249.23904000000002</v>
      </c>
      <c r="M20" s="529" t="s">
        <v>43</v>
      </c>
    </row>
    <row r="21" spans="1:17" ht="91.5" customHeight="1" thickBot="1" x14ac:dyDescent="0.3">
      <c r="A21" s="1243"/>
      <c r="B21" s="501" t="s">
        <v>34</v>
      </c>
      <c r="C21" s="502" t="s">
        <v>17</v>
      </c>
      <c r="D21" s="503">
        <f>(4*2)*4</f>
        <v>32</v>
      </c>
      <c r="E21" s="554">
        <f>H21+I21*2</f>
        <v>883</v>
      </c>
      <c r="F21" s="212"/>
      <c r="G21" s="213"/>
      <c r="H21" s="504">
        <v>853</v>
      </c>
      <c r="I21" s="502">
        <v>15</v>
      </c>
      <c r="J21" s="502"/>
      <c r="K21" s="502"/>
      <c r="L21" s="505">
        <f t="shared" si="1"/>
        <v>631.52159999999992</v>
      </c>
      <c r="M21" s="529" t="s">
        <v>43</v>
      </c>
    </row>
    <row r="22" spans="1:17" ht="22.5" customHeight="1" thickBot="1" x14ac:dyDescent="0.3">
      <c r="A22" s="160"/>
      <c r="B22" s="161"/>
      <c r="C22" s="162"/>
      <c r="D22" s="162"/>
      <c r="E22" s="162"/>
      <c r="F22" s="1185" t="s">
        <v>120</v>
      </c>
      <c r="G22" s="1186"/>
      <c r="H22" s="1186"/>
      <c r="I22" s="1186"/>
      <c r="J22" s="1186"/>
      <c r="K22" s="1253"/>
      <c r="L22" s="163"/>
      <c r="M22" s="529"/>
    </row>
    <row r="23" spans="1:17" ht="22.5" customHeight="1" x14ac:dyDescent="0.25">
      <c r="A23" s="19"/>
      <c r="B23" s="1189"/>
      <c r="C23" s="1190"/>
      <c r="D23" s="1190"/>
      <c r="E23" s="1190"/>
      <c r="F23" s="1206" t="s">
        <v>80</v>
      </c>
      <c r="G23" s="1207"/>
      <c r="H23" s="1208"/>
      <c r="I23" s="1234" t="s">
        <v>51</v>
      </c>
      <c r="J23" s="1235"/>
      <c r="K23" s="104" t="s">
        <v>52</v>
      </c>
      <c r="L23" s="105"/>
      <c r="M23" s="529"/>
    </row>
    <row r="24" spans="1:17" x14ac:dyDescent="0.25">
      <c r="A24" s="14"/>
      <c r="B24" s="928"/>
      <c r="C24" s="929"/>
      <c r="D24" s="929"/>
      <c r="E24" s="929"/>
      <c r="F24" s="1228" t="s">
        <v>107</v>
      </c>
      <c r="G24" s="1229"/>
      <c r="H24" s="1230"/>
      <c r="I24" s="1209" t="s">
        <v>30</v>
      </c>
      <c r="J24" s="1210"/>
      <c r="K24" s="538">
        <f>SUM(L4:L20)</f>
        <v>19041.940664799997</v>
      </c>
      <c r="L24" s="107"/>
      <c r="M24" s="529" t="s">
        <v>43</v>
      </c>
      <c r="O24" s="23"/>
    </row>
    <row r="25" spans="1:17" ht="15.75" thickBot="1" x14ac:dyDescent="0.3">
      <c r="A25" s="18"/>
      <c r="B25" s="964"/>
      <c r="C25" s="965"/>
      <c r="D25" s="965"/>
      <c r="E25" s="965"/>
      <c r="F25" s="1225" t="s">
        <v>298</v>
      </c>
      <c r="G25" s="1226"/>
      <c r="H25" s="1227"/>
      <c r="I25" s="1209"/>
      <c r="J25" s="1210"/>
      <c r="K25" s="538"/>
      <c r="L25" s="107"/>
      <c r="M25" s="529"/>
    </row>
    <row r="26" spans="1:17" x14ac:dyDescent="0.25">
      <c r="A26" s="17"/>
      <c r="B26" s="928"/>
      <c r="C26" s="929"/>
      <c r="D26" s="929"/>
      <c r="E26" s="929"/>
      <c r="F26" s="1220" t="s">
        <v>107</v>
      </c>
      <c r="G26" s="1221"/>
      <c r="H26" s="1222"/>
      <c r="I26" s="1209" t="s">
        <v>29</v>
      </c>
      <c r="J26" s="1210"/>
      <c r="K26" s="538">
        <f>G45</f>
        <v>150.62301599999998</v>
      </c>
      <c r="L26" s="107"/>
      <c r="M26" s="529" t="s">
        <v>43</v>
      </c>
      <c r="Q26" t="s">
        <v>102</v>
      </c>
    </row>
    <row r="27" spans="1:17" x14ac:dyDescent="0.25">
      <c r="A27" s="17"/>
      <c r="B27" s="1223"/>
      <c r="C27" s="1224"/>
      <c r="D27" s="1224"/>
      <c r="E27" s="1224"/>
      <c r="F27" s="1220" t="s">
        <v>115</v>
      </c>
      <c r="G27" s="1221"/>
      <c r="H27" s="1222"/>
      <c r="I27" s="1209" t="s">
        <v>30</v>
      </c>
      <c r="J27" s="1210"/>
      <c r="K27" s="531">
        <f>$L$21</f>
        <v>631.52159999999992</v>
      </c>
      <c r="L27" s="107"/>
      <c r="M27" s="529"/>
    </row>
    <row r="28" spans="1:17" x14ac:dyDescent="0.25">
      <c r="A28" s="17"/>
      <c r="B28" s="928"/>
      <c r="C28" s="929"/>
      <c r="D28" s="929"/>
      <c r="E28" s="929"/>
      <c r="F28" s="1220" t="s">
        <v>108</v>
      </c>
      <c r="G28" s="1221"/>
      <c r="H28" s="1222"/>
      <c r="I28" s="1209" t="s">
        <v>30</v>
      </c>
      <c r="J28" s="1210"/>
      <c r="K28" s="538">
        <f>L38*O38+L40*O40</f>
        <v>275.2</v>
      </c>
      <c r="L28" s="107"/>
      <c r="M28" s="529" t="s">
        <v>43</v>
      </c>
    </row>
    <row r="29" spans="1:17" x14ac:dyDescent="0.25">
      <c r="A29" s="17"/>
      <c r="B29" s="928"/>
      <c r="C29" s="929"/>
      <c r="D29" s="929"/>
      <c r="E29" s="929"/>
      <c r="F29" s="1220" t="s">
        <v>109</v>
      </c>
      <c r="G29" s="1221"/>
      <c r="H29" s="1222"/>
      <c r="I29" s="1209" t="s">
        <v>29</v>
      </c>
      <c r="J29" s="1210"/>
      <c r="K29" s="538">
        <f>G38</f>
        <v>25.936848000000001</v>
      </c>
      <c r="L29" s="107"/>
      <c r="M29" s="529" t="s">
        <v>43</v>
      </c>
    </row>
    <row r="30" spans="1:17" ht="15.75" thickBot="1" x14ac:dyDescent="0.3">
      <c r="A30" s="17"/>
      <c r="B30" s="1020"/>
      <c r="C30" s="1021"/>
      <c r="D30" s="1021"/>
      <c r="E30" s="1021"/>
      <c r="F30" s="1211" t="s">
        <v>354</v>
      </c>
      <c r="G30" s="1212"/>
      <c r="H30" s="1213"/>
      <c r="I30" s="1199" t="s">
        <v>45</v>
      </c>
      <c r="J30" s="1200"/>
      <c r="K30" s="108">
        <f>F51</f>
        <v>128</v>
      </c>
      <c r="L30" s="107"/>
      <c r="M30" s="529" t="s">
        <v>43</v>
      </c>
    </row>
    <row r="31" spans="1:17" ht="15.75" thickBot="1" x14ac:dyDescent="0.3">
      <c r="A31" s="17"/>
      <c r="B31" s="17"/>
      <c r="C31" s="17"/>
      <c r="D31" s="17"/>
      <c r="E31" s="17"/>
      <c r="L31" s="17"/>
    </row>
    <row r="32" spans="1:17" ht="15.75" thickBot="1" x14ac:dyDescent="0.3">
      <c r="A32" s="17"/>
      <c r="B32" s="17"/>
      <c r="C32" s="17"/>
      <c r="D32" s="17"/>
      <c r="E32" s="17"/>
      <c r="F32" s="1039" t="s">
        <v>129</v>
      </c>
      <c r="G32" s="1217"/>
      <c r="H32" s="1040"/>
      <c r="I32" s="1231" t="s">
        <v>29</v>
      </c>
      <c r="J32" s="1232"/>
      <c r="K32" s="139">
        <f>(K24/K33)</f>
        <v>2.4257249254522288</v>
      </c>
      <c r="L32" s="17"/>
    </row>
    <row r="33" spans="1:16" ht="15.75" thickBot="1" x14ac:dyDescent="0.3">
      <c r="A33" s="17"/>
      <c r="B33" s="17"/>
      <c r="C33" s="17"/>
      <c r="D33" s="17"/>
      <c r="E33" s="17"/>
      <c r="F33" s="140" t="s">
        <v>130</v>
      </c>
      <c r="G33" s="133"/>
      <c r="H33" s="134"/>
      <c r="I33" s="131" t="s">
        <v>128</v>
      </c>
      <c r="J33" s="528"/>
      <c r="K33" s="53">
        <v>7850</v>
      </c>
      <c r="L33" s="17"/>
    </row>
    <row r="36" spans="1:16" ht="15.75" thickBot="1" x14ac:dyDescent="0.3"/>
    <row r="37" spans="1:16" x14ac:dyDescent="0.25">
      <c r="C37" s="510" t="s">
        <v>81</v>
      </c>
      <c r="D37" s="511"/>
      <c r="E37" s="511" t="s">
        <v>40</v>
      </c>
      <c r="F37" s="511" t="s">
        <v>83</v>
      </c>
      <c r="G37" s="508" t="s">
        <v>285</v>
      </c>
      <c r="H37" s="308"/>
      <c r="K37" s="1077" t="s">
        <v>251</v>
      </c>
      <c r="L37" s="1077"/>
      <c r="M37" s="1077"/>
      <c r="N37" s="1078"/>
      <c r="O37" s="1" t="s">
        <v>253</v>
      </c>
    </row>
    <row r="38" spans="1:16" x14ac:dyDescent="0.25">
      <c r="C38" s="1214">
        <v>0.04</v>
      </c>
      <c r="D38" s="506"/>
      <c r="E38" s="506">
        <v>324.2106</v>
      </c>
      <c r="F38" s="506">
        <f>E38*$C$38</f>
        <v>12.968424000000001</v>
      </c>
      <c r="G38" s="1218">
        <f>F38+F39</f>
        <v>25.936848000000001</v>
      </c>
      <c r="H38" s="925" t="s">
        <v>43</v>
      </c>
      <c r="L38" s="1">
        <v>5.6</v>
      </c>
      <c r="M38" s="541"/>
      <c r="N38" s="1"/>
      <c r="O38" s="1">
        <f>(2*4)*4</f>
        <v>32</v>
      </c>
      <c r="P38" s="92" t="s">
        <v>43</v>
      </c>
    </row>
    <row r="39" spans="1:16" ht="15.75" thickBot="1" x14ac:dyDescent="0.3">
      <c r="C39" s="1215"/>
      <c r="D39" s="507"/>
      <c r="E39" s="507">
        <v>324.2106</v>
      </c>
      <c r="F39" s="506">
        <f>E39*$C$38</f>
        <v>12.968424000000001</v>
      </c>
      <c r="G39" s="1219"/>
      <c r="H39" s="925"/>
      <c r="K39" s="1236" t="s">
        <v>252</v>
      </c>
      <c r="L39" s="1236"/>
      <c r="M39" s="1236"/>
      <c r="N39" s="1237"/>
      <c r="O39" s="1"/>
      <c r="P39" s="92"/>
    </row>
    <row r="40" spans="1:16" x14ac:dyDescent="0.25">
      <c r="C40" s="510" t="s">
        <v>81</v>
      </c>
      <c r="D40" s="511"/>
      <c r="E40" s="511" t="s">
        <v>40</v>
      </c>
      <c r="F40" s="511" t="s">
        <v>141</v>
      </c>
      <c r="G40" s="509"/>
      <c r="H40" s="308"/>
      <c r="L40" s="1">
        <v>1.5</v>
      </c>
      <c r="M40" s="541"/>
      <c r="N40" s="1"/>
      <c r="O40" s="1">
        <f>(4*4)*4</f>
        <v>64</v>
      </c>
      <c r="P40" s="92" t="s">
        <v>43</v>
      </c>
    </row>
    <row r="41" spans="1:16" x14ac:dyDescent="0.25">
      <c r="C41" s="1214">
        <v>0.18</v>
      </c>
      <c r="D41" s="506"/>
      <c r="E41" s="506">
        <v>324.2106</v>
      </c>
      <c r="F41" s="506">
        <f>E41*$C$41</f>
        <v>58.357907999999995</v>
      </c>
      <c r="G41" s="1218">
        <f>F41+F42</f>
        <v>116.71581599999999</v>
      </c>
      <c r="H41" s="1216" t="s">
        <v>43</v>
      </c>
    </row>
    <row r="42" spans="1:16" ht="15.75" thickBot="1" x14ac:dyDescent="0.3">
      <c r="C42" s="1215"/>
      <c r="D42" s="507"/>
      <c r="E42" s="507">
        <v>324.2106</v>
      </c>
      <c r="F42" s="506">
        <f>E42*$C$41</f>
        <v>58.357907999999995</v>
      </c>
      <c r="G42" s="1219"/>
      <c r="H42" s="925"/>
    </row>
    <row r="43" spans="1:16" ht="15.75" thickBot="1" x14ac:dyDescent="0.3">
      <c r="C43" s="512" t="s">
        <v>81</v>
      </c>
      <c r="D43" s="513" t="s">
        <v>40</v>
      </c>
      <c r="E43" s="513" t="s">
        <v>97</v>
      </c>
      <c r="F43" s="513" t="s">
        <v>142</v>
      </c>
      <c r="G43" s="514"/>
      <c r="H43" s="925"/>
    </row>
    <row r="44" spans="1:16" ht="15.75" thickBot="1" x14ac:dyDescent="0.3">
      <c r="C44" s="519">
        <v>0.3</v>
      </c>
      <c r="D44" s="516">
        <v>2.8256000000000001</v>
      </c>
      <c r="E44" s="518">
        <f>8*5</f>
        <v>40</v>
      </c>
      <c r="F44" s="516">
        <f>D44*E44*$C$44</f>
        <v>33.907199999999996</v>
      </c>
      <c r="G44" s="517">
        <f>F44</f>
        <v>33.907199999999996</v>
      </c>
      <c r="H44" s="925"/>
    </row>
    <row r="45" spans="1:16" ht="15.75" thickBot="1" x14ac:dyDescent="0.3">
      <c r="C45" s="515"/>
      <c r="D45" s="516"/>
      <c r="E45" s="516"/>
      <c r="F45" s="520" t="s">
        <v>285</v>
      </c>
      <c r="G45" s="521">
        <f>SUM(G41:G44)</f>
        <v>150.62301599999998</v>
      </c>
      <c r="H45" s="925"/>
    </row>
    <row r="48" spans="1:16" x14ac:dyDescent="0.25">
      <c r="C48" t="s">
        <v>170</v>
      </c>
    </row>
    <row r="50" spans="3:7" x14ac:dyDescent="0.25">
      <c r="C50" s="1" t="s">
        <v>171</v>
      </c>
      <c r="D50" s="996" t="s">
        <v>172</v>
      </c>
      <c r="E50" s="996"/>
      <c r="F50" s="1" t="s">
        <v>152</v>
      </c>
    </row>
    <row r="51" spans="3:7" x14ac:dyDescent="0.25">
      <c r="C51" s="81">
        <v>4</v>
      </c>
      <c r="D51" s="996">
        <v>32</v>
      </c>
      <c r="E51" s="996"/>
      <c r="F51" s="1">
        <f>C51*D51</f>
        <v>128</v>
      </c>
      <c r="G51" s="92" t="s">
        <v>43</v>
      </c>
    </row>
    <row r="53" spans="3:7" x14ac:dyDescent="0.25">
      <c r="C53" s="2"/>
      <c r="D53" s="2"/>
      <c r="E53" s="2"/>
      <c r="F53" s="2"/>
    </row>
    <row r="54" spans="3:7" x14ac:dyDescent="0.25">
      <c r="C54" s="2"/>
      <c r="D54" s="2"/>
      <c r="E54" s="2"/>
      <c r="F54" s="2"/>
    </row>
  </sheetData>
  <mergeCells count="50">
    <mergeCell ref="D51:E51"/>
    <mergeCell ref="B29:E29"/>
    <mergeCell ref="F29:H29"/>
    <mergeCell ref="I29:J29"/>
    <mergeCell ref="B30:E30"/>
    <mergeCell ref="F30:H30"/>
    <mergeCell ref="I30:J30"/>
    <mergeCell ref="F32:H32"/>
    <mergeCell ref="I32:J32"/>
    <mergeCell ref="D50:E50"/>
    <mergeCell ref="B26:E26"/>
    <mergeCell ref="F26:H26"/>
    <mergeCell ref="I26:J26"/>
    <mergeCell ref="C41:C42"/>
    <mergeCell ref="G41:G42"/>
    <mergeCell ref="H41:H45"/>
    <mergeCell ref="B27:E27"/>
    <mergeCell ref="F27:H27"/>
    <mergeCell ref="I27:J27"/>
    <mergeCell ref="B28:E28"/>
    <mergeCell ref="F28:H28"/>
    <mergeCell ref="I28:J28"/>
    <mergeCell ref="B25:E25"/>
    <mergeCell ref="F25:H25"/>
    <mergeCell ref="I25:J25"/>
    <mergeCell ref="A15:A21"/>
    <mergeCell ref="F15:G16"/>
    <mergeCell ref="F17:G17"/>
    <mergeCell ref="F18:G18"/>
    <mergeCell ref="F20:G20"/>
    <mergeCell ref="F22:K22"/>
    <mergeCell ref="B23:E23"/>
    <mergeCell ref="F23:H23"/>
    <mergeCell ref="I23:J23"/>
    <mergeCell ref="B24:E24"/>
    <mergeCell ref="F24:H24"/>
    <mergeCell ref="I24:J24"/>
    <mergeCell ref="A1:L1"/>
    <mergeCell ref="A4:A14"/>
    <mergeCell ref="B5:B7"/>
    <mergeCell ref="C6:D6"/>
    <mergeCell ref="C7:E7"/>
    <mergeCell ref="B10:B12"/>
    <mergeCell ref="C11:D11"/>
    <mergeCell ref="C12:E12"/>
    <mergeCell ref="K37:N37"/>
    <mergeCell ref="C38:C39"/>
    <mergeCell ref="G38:G39"/>
    <mergeCell ref="H38:H39"/>
    <mergeCell ref="K39:N39"/>
  </mergeCells>
  <pageMargins left="0.7" right="0.7" top="0.75" bottom="0.75" header="0.3" footer="0.3"/>
  <pageSetup orientation="portrait" r:id="rId1"/>
  <drawing r:id="rId2"/>
  <legacyDrawing r:id="rId3"/>
  <oleObjects>
    <mc:AlternateContent xmlns:mc="http://schemas.openxmlformats.org/markup-compatibility/2006">
      <mc:Choice Requires="x14">
        <oleObject progId="AutoCAD.Drawing.19" shapeId="122881" r:id="rId4">
          <objectPr defaultSize="0" autoPict="0" r:id="rId5">
            <anchor moveWithCells="1">
              <from>
                <xdr:col>5</xdr:col>
                <xdr:colOff>123825</xdr:colOff>
                <xdr:row>8</xdr:row>
                <xdr:rowOff>9525</xdr:rowOff>
              </from>
              <to>
                <xdr:col>6</xdr:col>
                <xdr:colOff>95250</xdr:colOff>
                <xdr:row>12</xdr:row>
                <xdr:rowOff>57150</xdr:rowOff>
              </to>
            </anchor>
          </objectPr>
        </oleObject>
      </mc:Choice>
      <mc:Fallback>
        <oleObject progId="AutoCAD.Drawing.19" shapeId="122881" r:id="rId4"/>
      </mc:Fallback>
    </mc:AlternateContent>
    <mc:AlternateContent xmlns:mc="http://schemas.openxmlformats.org/markup-compatibility/2006">
      <mc:Choice Requires="x14">
        <oleObject progId="AutoCAD.Drawing.19" shapeId="122882" r:id="rId6">
          <objectPr defaultSize="0" autoPict="0" r:id="rId7">
            <anchor moveWithCells="1">
              <from>
                <xdr:col>5</xdr:col>
                <xdr:colOff>666750</xdr:colOff>
                <xdr:row>20</xdr:row>
                <xdr:rowOff>95250</xdr:rowOff>
              </from>
              <to>
                <xdr:col>6</xdr:col>
                <xdr:colOff>19050</xdr:colOff>
                <xdr:row>20</xdr:row>
                <xdr:rowOff>1095375</xdr:rowOff>
              </to>
            </anchor>
          </objectPr>
        </oleObject>
      </mc:Choice>
      <mc:Fallback>
        <oleObject progId="AutoCAD.Drawing.19" shapeId="122882" r:id="rId6"/>
      </mc:Fallback>
    </mc:AlternateContent>
    <mc:AlternateContent xmlns:mc="http://schemas.openxmlformats.org/markup-compatibility/2006">
      <mc:Choice Requires="x14">
        <oleObject progId="AutoCAD.Drawing.19" shapeId="122883" r:id="rId8">
          <objectPr defaultSize="0" autoPict="0" r:id="rId9">
            <anchor moveWithCells="1">
              <from>
                <xdr:col>5</xdr:col>
                <xdr:colOff>819150</xdr:colOff>
                <xdr:row>13</xdr:row>
                <xdr:rowOff>266700</xdr:rowOff>
              </from>
              <to>
                <xdr:col>5</xdr:col>
                <xdr:colOff>2724150</xdr:colOff>
                <xdr:row>15</xdr:row>
                <xdr:rowOff>133350</xdr:rowOff>
              </to>
            </anchor>
          </objectPr>
        </oleObject>
      </mc:Choice>
      <mc:Fallback>
        <oleObject progId="AutoCAD.Drawing.19" shapeId="122883" r:id="rId8"/>
      </mc:Fallback>
    </mc:AlternateContent>
    <mc:AlternateContent xmlns:mc="http://schemas.openxmlformats.org/markup-compatibility/2006">
      <mc:Choice Requires="x14">
        <oleObject progId="AutoCAD.Drawing.19" shapeId="122884" r:id="rId10">
          <objectPr defaultSize="0" autoPict="0" r:id="rId11">
            <anchor moveWithCells="1">
              <from>
                <xdr:col>5</xdr:col>
                <xdr:colOff>1133475</xdr:colOff>
                <xdr:row>17</xdr:row>
                <xdr:rowOff>104775</xdr:rowOff>
              </from>
              <to>
                <xdr:col>5</xdr:col>
                <xdr:colOff>2505075</xdr:colOff>
                <xdr:row>17</xdr:row>
                <xdr:rowOff>1533525</xdr:rowOff>
              </to>
            </anchor>
          </objectPr>
        </oleObject>
      </mc:Choice>
      <mc:Fallback>
        <oleObject progId="AutoCAD.Drawing.19" shapeId="122884" r:id="rId10"/>
      </mc:Fallback>
    </mc:AlternateContent>
    <mc:AlternateContent xmlns:mc="http://schemas.openxmlformats.org/markup-compatibility/2006">
      <mc:Choice Requires="x14">
        <oleObject progId="AutoCAD.Drawing.19" shapeId="122885" r:id="rId12">
          <objectPr defaultSize="0" autoPict="0" r:id="rId13">
            <anchor moveWithCells="1">
              <from>
                <xdr:col>5</xdr:col>
                <xdr:colOff>847725</xdr:colOff>
                <xdr:row>16</xdr:row>
                <xdr:rowOff>0</xdr:rowOff>
              </from>
              <to>
                <xdr:col>5</xdr:col>
                <xdr:colOff>2686050</xdr:colOff>
                <xdr:row>17</xdr:row>
                <xdr:rowOff>76200</xdr:rowOff>
              </to>
            </anchor>
          </objectPr>
        </oleObject>
      </mc:Choice>
      <mc:Fallback>
        <oleObject progId="AutoCAD.Drawing.19" shapeId="122885" r:id="rId12"/>
      </mc:Fallback>
    </mc:AlternateContent>
    <mc:AlternateContent xmlns:mc="http://schemas.openxmlformats.org/markup-compatibility/2006">
      <mc:Choice Requires="x14">
        <oleObject progId="AutoCAD.Drawing.19" shapeId="122886" r:id="rId14">
          <objectPr defaultSize="0" autoPict="0" r:id="rId15">
            <anchor moveWithCells="1">
              <from>
                <xdr:col>5</xdr:col>
                <xdr:colOff>1352550</xdr:colOff>
                <xdr:row>18</xdr:row>
                <xdr:rowOff>133350</xdr:rowOff>
              </from>
              <to>
                <xdr:col>5</xdr:col>
                <xdr:colOff>2371725</xdr:colOff>
                <xdr:row>18</xdr:row>
                <xdr:rowOff>1590675</xdr:rowOff>
              </to>
            </anchor>
          </objectPr>
        </oleObject>
      </mc:Choice>
      <mc:Fallback>
        <oleObject progId="AutoCAD.Drawing.19" shapeId="122886" r:id="rId1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82"/>
  <sheetViews>
    <sheetView showGridLines="0" zoomScale="85" zoomScaleNormal="85" workbookViewId="0">
      <selection activeCell="O17" sqref="O17"/>
    </sheetView>
  </sheetViews>
  <sheetFormatPr baseColWidth="10" defaultRowHeight="15" x14ac:dyDescent="0.25"/>
  <cols>
    <col min="1" max="1" width="6" customWidth="1"/>
    <col min="2" max="2" width="9.7109375" customWidth="1"/>
    <col min="4" max="4" width="9.140625" customWidth="1"/>
    <col min="5" max="5" width="13.140625" customWidth="1"/>
    <col min="6" max="6" width="45.140625" customWidth="1"/>
    <col min="7" max="9" width="7.5703125" customWidth="1"/>
    <col min="10" max="10" width="8.85546875" customWidth="1"/>
    <col min="11" max="11" width="10.85546875" customWidth="1"/>
    <col min="12" max="12" width="11.42578125" customWidth="1"/>
    <col min="13" max="13" width="5.140625" customWidth="1"/>
    <col min="14" max="14" width="3.42578125" customWidth="1"/>
    <col min="15" max="15" width="15.85546875" customWidth="1"/>
    <col min="16" max="16" width="7.7109375" customWidth="1"/>
    <col min="17" max="17" width="8.85546875" customWidth="1"/>
  </cols>
  <sheetData>
    <row r="1" spans="1:21" ht="19.5" thickBot="1" x14ac:dyDescent="0.35">
      <c r="A1" s="1163" t="s">
        <v>359</v>
      </c>
      <c r="B1" s="1164"/>
      <c r="C1" s="1164"/>
      <c r="D1" s="1164"/>
      <c r="E1" s="1164"/>
      <c r="F1" s="1164"/>
      <c r="G1" s="1164"/>
      <c r="H1" s="1164"/>
      <c r="I1" s="1164"/>
      <c r="J1" s="1164"/>
      <c r="K1" s="1164"/>
      <c r="L1" s="1165"/>
    </row>
    <row r="2" spans="1:21" x14ac:dyDescent="0.25">
      <c r="A2" s="12"/>
      <c r="B2" s="10"/>
      <c r="C2" s="10"/>
      <c r="D2" s="10"/>
      <c r="E2" s="10"/>
      <c r="F2" s="10"/>
      <c r="G2" s="10"/>
      <c r="H2" s="10"/>
      <c r="I2" s="10"/>
      <c r="J2" s="10"/>
      <c r="K2" s="10"/>
      <c r="L2" s="13"/>
    </row>
    <row r="3" spans="1:21" ht="15.75" thickBot="1" x14ac:dyDescent="0.3">
      <c r="A3" s="14" t="s">
        <v>0</v>
      </c>
      <c r="B3" s="8" t="s">
        <v>1</v>
      </c>
      <c r="C3" s="8" t="s">
        <v>2</v>
      </c>
      <c r="D3" s="8" t="s">
        <v>3</v>
      </c>
      <c r="E3" s="8" t="s">
        <v>4</v>
      </c>
      <c r="F3" s="210" t="s">
        <v>5</v>
      </c>
      <c r="G3" s="210"/>
      <c r="H3" s="8" t="s">
        <v>7</v>
      </c>
      <c r="I3" s="8" t="s">
        <v>8</v>
      </c>
      <c r="J3" s="8" t="s">
        <v>28</v>
      </c>
      <c r="K3" s="15" t="s">
        <v>44</v>
      </c>
      <c r="L3" s="16" t="s">
        <v>9</v>
      </c>
      <c r="M3" s="2"/>
    </row>
    <row r="4" spans="1:21" ht="24.75" customHeight="1" thickBot="1" x14ac:dyDescent="0.3">
      <c r="A4" s="1246" t="s">
        <v>33</v>
      </c>
      <c r="B4" s="467" t="s">
        <v>255</v>
      </c>
      <c r="C4" s="469" t="s">
        <v>244</v>
      </c>
      <c r="D4" s="248">
        <f>(136*2)+(136*2)</f>
        <v>544</v>
      </c>
      <c r="E4" s="272">
        <f>H4+(I4*2)+(J4*2)</f>
        <v>1055.1223</v>
      </c>
      <c r="F4" s="55"/>
      <c r="G4" s="58"/>
      <c r="H4" s="278">
        <f>1049.1223-(2*5)-(2*VLOOKUP(C4,$Q$5:$U$11,4,FALSE))</f>
        <v>1027.1223</v>
      </c>
      <c r="I4" s="249">
        <v>5</v>
      </c>
      <c r="J4" s="249">
        <f>VLOOKUP(C4,$Q$5:$U$11,5,FALSE)</f>
        <v>9</v>
      </c>
      <c r="K4" s="248"/>
      <c r="L4" s="104">
        <f>(E4/100)*D4*VLOOKUP(C4,$Q$5:$U$11,3,FALSE)</f>
        <v>8896.7912336000009</v>
      </c>
      <c r="M4" s="525" t="s">
        <v>43</v>
      </c>
      <c r="O4" t="s">
        <v>242</v>
      </c>
      <c r="Q4" s="238" t="s">
        <v>19</v>
      </c>
      <c r="R4" s="239" t="s">
        <v>20</v>
      </c>
      <c r="S4" s="239" t="s">
        <v>25</v>
      </c>
      <c r="T4" s="240" t="s">
        <v>311</v>
      </c>
      <c r="U4" s="241" t="s">
        <v>312</v>
      </c>
    </row>
    <row r="5" spans="1:21" ht="24.75" customHeight="1" thickBot="1" x14ac:dyDescent="0.3">
      <c r="A5" s="1247"/>
      <c r="B5" s="1181" t="s">
        <v>254</v>
      </c>
      <c r="C5" s="533" t="s">
        <v>244</v>
      </c>
      <c r="D5" s="536">
        <f>((17+16)+(17+17))</f>
        <v>67</v>
      </c>
      <c r="E5" s="537">
        <f>H5+(I5*2)+(J5*2)</f>
        <v>1032.1559999999999</v>
      </c>
      <c r="F5" s="56"/>
      <c r="G5" s="114" t="s">
        <v>31</v>
      </c>
      <c r="H5" s="280">
        <f>1032.156-(2*5)-(2*VLOOKUP(C5,$Q$5:$U$11,4,FALSE))</f>
        <v>1010.1559999999999</v>
      </c>
      <c r="I5" s="536">
        <v>5</v>
      </c>
      <c r="J5" s="536">
        <v>6</v>
      </c>
      <c r="K5" s="536"/>
      <c r="L5" s="538">
        <f>((((E5+E6)/2)/100)*D5*VLOOKUP(C5,$Q$5:$U$11,3,FALSE))*O5</f>
        <v>1121.5194554499999</v>
      </c>
      <c r="M5" s="525" t="s">
        <v>43</v>
      </c>
      <c r="O5" s="148">
        <v>2</v>
      </c>
      <c r="Q5" s="235" t="s">
        <v>243</v>
      </c>
      <c r="R5" s="236" t="s">
        <v>21</v>
      </c>
      <c r="S5" s="262">
        <v>0.55700000000000005</v>
      </c>
      <c r="T5" s="237">
        <f>ROUNDUP((3/8*2.54*3.5),0)</f>
        <v>4</v>
      </c>
      <c r="U5" s="260">
        <f>ROUND(+PI()*T5*2/4,0)</f>
        <v>6</v>
      </c>
    </row>
    <row r="6" spans="1:21" ht="24.75" customHeight="1" thickBot="1" x14ac:dyDescent="0.3">
      <c r="A6" s="1247"/>
      <c r="B6" s="1181"/>
      <c r="C6" s="1018"/>
      <c r="D6" s="1018"/>
      <c r="E6" s="537">
        <f>H6+(I6*2)+(J6*2)</f>
        <v>47.785699999999999</v>
      </c>
      <c r="F6" s="56"/>
      <c r="G6" s="114" t="s">
        <v>32</v>
      </c>
      <c r="H6" s="280">
        <f>37.7857-(2*VLOOKUP(C5,$Q$5:$U$11,4,FALSE))</f>
        <v>25.785699999999999</v>
      </c>
      <c r="I6" s="536">
        <v>5</v>
      </c>
      <c r="J6" s="536">
        <v>6</v>
      </c>
      <c r="K6" s="536"/>
      <c r="L6" s="538"/>
      <c r="M6" s="525"/>
      <c r="Q6" s="526" t="s">
        <v>18</v>
      </c>
      <c r="R6" s="220" t="s">
        <v>22</v>
      </c>
      <c r="S6" s="263">
        <v>0.996</v>
      </c>
      <c r="T6" s="522">
        <f>ROUNDUP((4/8*2.54*3.5),0)</f>
        <v>5</v>
      </c>
      <c r="U6" s="259">
        <f t="shared" ref="U6:U11" si="0">ROUND(+PI()*T6*2/4,0)</f>
        <v>8</v>
      </c>
    </row>
    <row r="7" spans="1:21" ht="24.75" customHeight="1" thickBot="1" x14ac:dyDescent="0.3">
      <c r="A7" s="1247"/>
      <c r="B7" s="1181"/>
      <c r="C7" s="1018" t="str">
        <f>CONCATENATE(O5," juegos de ",D5," vars.")</f>
        <v>2 juegos de 67 vars.</v>
      </c>
      <c r="D7" s="1018"/>
      <c r="E7" s="1019"/>
      <c r="F7" s="56"/>
      <c r="G7" s="114" t="s">
        <v>88</v>
      </c>
      <c r="H7" s="439">
        <f>(H5-H6)/(D5-1)</f>
        <v>14.914701515151513</v>
      </c>
      <c r="I7" s="536"/>
      <c r="J7" s="536"/>
      <c r="K7" s="536"/>
      <c r="L7" s="538"/>
      <c r="M7" s="525"/>
      <c r="O7" s="17"/>
      <c r="Q7" s="527" t="s">
        <v>244</v>
      </c>
      <c r="R7" s="231" t="s">
        <v>23</v>
      </c>
      <c r="S7" s="262">
        <v>1.55</v>
      </c>
      <c r="T7" s="232">
        <f>ROUNDUP((5/8*2.54*3.5),0)</f>
        <v>6</v>
      </c>
      <c r="U7" s="261">
        <f t="shared" si="0"/>
        <v>9</v>
      </c>
    </row>
    <row r="8" spans="1:21" ht="24.75" customHeight="1" thickBot="1" x14ac:dyDescent="0.3">
      <c r="A8" s="1247"/>
      <c r="B8" s="539" t="s">
        <v>140</v>
      </c>
      <c r="C8" s="533" t="s">
        <v>18</v>
      </c>
      <c r="D8" s="536">
        <f>(11*4)*2</f>
        <v>88</v>
      </c>
      <c r="E8" s="537">
        <f>H8+(I8*2)+(J8*2)</f>
        <v>300</v>
      </c>
      <c r="F8" s="56"/>
      <c r="G8" s="115"/>
      <c r="H8" s="539">
        <v>300</v>
      </c>
      <c r="I8" s="533"/>
      <c r="J8" s="533"/>
      <c r="K8" s="536"/>
      <c r="L8" s="538">
        <f>(E8/100)*D8*VLOOKUP(C8,$Q$5:$U$11,3,FALSE)</f>
        <v>262.94400000000002</v>
      </c>
      <c r="M8" s="525" t="s">
        <v>43</v>
      </c>
      <c r="O8" s="17"/>
      <c r="Q8" s="526" t="s">
        <v>17</v>
      </c>
      <c r="R8" s="220" t="s">
        <v>24</v>
      </c>
      <c r="S8" s="263">
        <v>2.2349999999999999</v>
      </c>
      <c r="T8" s="522">
        <f>ROUNDUP((6/8*2.54*3.5),0)</f>
        <v>7</v>
      </c>
      <c r="U8" s="259">
        <f t="shared" si="0"/>
        <v>11</v>
      </c>
    </row>
    <row r="9" spans="1:21" ht="24.75" customHeight="1" thickBot="1" x14ac:dyDescent="0.3">
      <c r="A9" s="1247"/>
      <c r="B9" s="539" t="s">
        <v>263</v>
      </c>
      <c r="C9" s="533" t="s">
        <v>18</v>
      </c>
      <c r="D9" s="536">
        <f>(50*2)+(50*2)</f>
        <v>200</v>
      </c>
      <c r="E9" s="537">
        <f>H9+(I9*2)+(J9*2)</f>
        <v>3090.1170000000002</v>
      </c>
      <c r="F9" s="56"/>
      <c r="G9" s="103"/>
      <c r="H9" s="280">
        <f>3084.117-(2*5)-(2*VLOOKUP(C9,$Q$5:$U$11,4,FALSE))</f>
        <v>3064.1170000000002</v>
      </c>
      <c r="I9" s="533">
        <v>5</v>
      </c>
      <c r="J9" s="226">
        <f>VLOOKUP(C9,$Q$5:$U$11,5,FALSE)</f>
        <v>8</v>
      </c>
      <c r="K9" s="536"/>
      <c r="L9" s="538">
        <f>(E9/100)*D9*VLOOKUP(C9,$Q$5:$U$11,3,FALSE)</f>
        <v>6155.5130640000007</v>
      </c>
      <c r="M9" s="525" t="s">
        <v>43</v>
      </c>
      <c r="O9" t="s">
        <v>242</v>
      </c>
      <c r="Q9" s="527" t="s">
        <v>16</v>
      </c>
      <c r="R9" s="233">
        <v>1</v>
      </c>
      <c r="S9" s="262">
        <v>3.99</v>
      </c>
      <c r="T9" s="232">
        <f>ROUNDUP((8/8*2.54*3.5),0)</f>
        <v>9</v>
      </c>
      <c r="U9" s="260">
        <f t="shared" si="0"/>
        <v>14</v>
      </c>
    </row>
    <row r="10" spans="1:21" ht="24.75" customHeight="1" thickBot="1" x14ac:dyDescent="0.3">
      <c r="A10" s="1247"/>
      <c r="B10" s="1181" t="s">
        <v>270</v>
      </c>
      <c r="C10" s="536" t="s">
        <v>18</v>
      </c>
      <c r="D10" s="536">
        <v>10</v>
      </c>
      <c r="E10" s="537">
        <f>H10+(I10*2)+(J10*2)</f>
        <v>2632.1442999999999</v>
      </c>
      <c r="F10" s="56"/>
      <c r="G10" s="114" t="s">
        <v>31</v>
      </c>
      <c r="H10" s="280">
        <f>2626.1443-(2*5)-(2*VLOOKUP(C10,$Q$5:$U$11,4,FALSE))</f>
        <v>2606.1442999999999</v>
      </c>
      <c r="I10" s="536">
        <v>5</v>
      </c>
      <c r="J10" s="226">
        <f>VLOOKUP(C10,$Q$5:$U$11,5,FALSE)</f>
        <v>8</v>
      </c>
      <c r="K10" s="536"/>
      <c r="L10" s="538">
        <f>((((E10+E11)/2)/100)*D10*VLOOKUP(C10,$Q$5:$U$11,3,FALSE))*O10</f>
        <v>272.14720932</v>
      </c>
      <c r="M10" s="525" t="s">
        <v>43</v>
      </c>
      <c r="O10" s="148">
        <v>2</v>
      </c>
      <c r="Q10" s="526" t="s">
        <v>290</v>
      </c>
      <c r="R10" s="221">
        <v>1.25</v>
      </c>
      <c r="S10" s="263">
        <v>6.2249999999999996</v>
      </c>
      <c r="T10" s="522">
        <f>ROUNDUP((10/8*2.54*3.5),0)</f>
        <v>12</v>
      </c>
      <c r="U10" s="259">
        <f t="shared" si="0"/>
        <v>19</v>
      </c>
    </row>
    <row r="11" spans="1:21" ht="24.75" customHeight="1" thickBot="1" x14ac:dyDescent="0.3">
      <c r="A11" s="1247"/>
      <c r="B11" s="1181"/>
      <c r="C11" s="1018"/>
      <c r="D11" s="1018"/>
      <c r="E11" s="537">
        <f>H11+(I11*2)+(J11*2)</f>
        <v>100.2574</v>
      </c>
      <c r="F11" s="56"/>
      <c r="G11" s="114" t="s">
        <v>32</v>
      </c>
      <c r="H11" s="280">
        <f>84.2574-(2*VLOOKUP(C10,$Q$5:$U$11,4,FALSE))</f>
        <v>74.257400000000004</v>
      </c>
      <c r="I11" s="536">
        <v>5</v>
      </c>
      <c r="J11" s="226">
        <f>VLOOKUP(C10,$Q$5:$U$11,5,FALSE)</f>
        <v>8</v>
      </c>
      <c r="K11" s="536"/>
      <c r="L11" s="538"/>
      <c r="M11" s="525"/>
      <c r="Q11" s="527" t="s">
        <v>286</v>
      </c>
      <c r="R11" s="234">
        <v>1.5</v>
      </c>
      <c r="S11" s="262">
        <v>8.9380000000000006</v>
      </c>
      <c r="T11" s="232">
        <f>ROUNDUP((12/8*2.54*3.5),0)</f>
        <v>14</v>
      </c>
      <c r="U11" s="258">
        <f t="shared" si="0"/>
        <v>22</v>
      </c>
    </row>
    <row r="12" spans="1:21" ht="24.75" customHeight="1" x14ac:dyDescent="0.25">
      <c r="A12" s="1247"/>
      <c r="B12" s="1181"/>
      <c r="C12" s="1018" t="str">
        <f>CONCATENATE(O10," juegos de ",D10," vars.")</f>
        <v>2 juegos de 10 vars.</v>
      </c>
      <c r="D12" s="1018"/>
      <c r="E12" s="1019"/>
      <c r="F12" s="56"/>
      <c r="G12" s="114" t="s">
        <v>88</v>
      </c>
      <c r="H12" s="439">
        <f>(H10-H11)/(D10-1)</f>
        <v>281.32076666666666</v>
      </c>
      <c r="I12" s="536"/>
      <c r="J12" s="536"/>
      <c r="K12" s="536"/>
      <c r="L12" s="538"/>
      <c r="M12" s="525"/>
      <c r="R12" s="3"/>
      <c r="S12" s="21"/>
      <c r="T12" s="3"/>
    </row>
    <row r="13" spans="1:21" ht="24.75" customHeight="1" x14ac:dyDescent="0.25">
      <c r="A13" s="1247"/>
      <c r="B13" s="539" t="s">
        <v>12</v>
      </c>
      <c r="C13" s="533" t="s">
        <v>18</v>
      </c>
      <c r="D13" s="536">
        <f>(8*4)*2</f>
        <v>64</v>
      </c>
      <c r="E13" s="537">
        <f>H13+(I13*2)+(J13*2)</f>
        <v>225</v>
      </c>
      <c r="F13" s="56"/>
      <c r="G13" s="59"/>
      <c r="H13" s="539">
        <v>225</v>
      </c>
      <c r="I13" s="533"/>
      <c r="J13" s="533"/>
      <c r="K13" s="536"/>
      <c r="L13" s="538">
        <f t="shared" ref="L13:L21" si="1">(E13/100)*D13*VLOOKUP(C13,$Q$5:$U$11,3,FALSE)</f>
        <v>143.42400000000001</v>
      </c>
      <c r="M13" s="525" t="s">
        <v>43</v>
      </c>
      <c r="R13" s="3"/>
      <c r="S13" s="21"/>
      <c r="T13" s="3"/>
    </row>
    <row r="14" spans="1:21" ht="24.75" customHeight="1" thickBot="1" x14ac:dyDescent="0.3">
      <c r="A14" s="1248"/>
      <c r="B14" s="497" t="s">
        <v>13</v>
      </c>
      <c r="C14" s="498" t="s">
        <v>18</v>
      </c>
      <c r="D14" s="159">
        <f>(8*4)*2</f>
        <v>64</v>
      </c>
      <c r="E14" s="165">
        <f>H14+(I14*2)+(J14*2)</f>
        <v>175</v>
      </c>
      <c r="F14" s="57"/>
      <c r="G14" s="60"/>
      <c r="H14" s="497">
        <v>175</v>
      </c>
      <c r="I14" s="164"/>
      <c r="J14" s="164"/>
      <c r="K14" s="159"/>
      <c r="L14" s="108">
        <f t="shared" si="1"/>
        <v>111.55199999999999</v>
      </c>
      <c r="M14" s="525" t="s">
        <v>43</v>
      </c>
    </row>
    <row r="15" spans="1:21" ht="24.75" customHeight="1" x14ac:dyDescent="0.25">
      <c r="A15" s="1241" t="s">
        <v>106</v>
      </c>
      <c r="B15" s="467" t="s">
        <v>37</v>
      </c>
      <c r="C15" s="468" t="s">
        <v>18</v>
      </c>
      <c r="D15" s="248">
        <f>((6*2)*8)*4</f>
        <v>384</v>
      </c>
      <c r="E15" s="272">
        <f>H15</f>
        <v>177</v>
      </c>
      <c r="F15" s="1239"/>
      <c r="G15" s="1240"/>
      <c r="H15" s="467">
        <v>177</v>
      </c>
      <c r="I15" s="469"/>
      <c r="J15" s="469"/>
      <c r="K15" s="469"/>
      <c r="L15" s="104">
        <f t="shared" si="1"/>
        <v>676.9612800000001</v>
      </c>
      <c r="M15" s="529" t="s">
        <v>43</v>
      </c>
    </row>
    <row r="16" spans="1:21" ht="24.75" customHeight="1" x14ac:dyDescent="0.25">
      <c r="A16" s="1242"/>
      <c r="B16" s="539" t="s">
        <v>38</v>
      </c>
      <c r="C16" s="146" t="s">
        <v>18</v>
      </c>
      <c r="D16" s="536">
        <f>(2*8)*4</f>
        <v>64</v>
      </c>
      <c r="E16" s="537">
        <f>H16</f>
        <v>116</v>
      </c>
      <c r="F16" s="1251"/>
      <c r="G16" s="1252"/>
      <c r="H16" s="539">
        <v>116</v>
      </c>
      <c r="I16" s="533"/>
      <c r="J16" s="533"/>
      <c r="K16" s="533"/>
      <c r="L16" s="538">
        <f t="shared" si="1"/>
        <v>73.943039999999996</v>
      </c>
      <c r="M16" s="529" t="s">
        <v>43</v>
      </c>
    </row>
    <row r="17" spans="1:17" ht="127.5" customHeight="1" x14ac:dyDescent="0.25">
      <c r="A17" s="1242"/>
      <c r="B17" s="539" t="s">
        <v>262</v>
      </c>
      <c r="C17" s="146" t="s">
        <v>18</v>
      </c>
      <c r="D17" s="536">
        <f>(4*8)*2</f>
        <v>64</v>
      </c>
      <c r="E17" s="537">
        <f>(H17*2)+(I17*2)+(J17*4)+K17</f>
        <v>526</v>
      </c>
      <c r="F17" s="1157"/>
      <c r="G17" s="1158"/>
      <c r="H17" s="539">
        <f>168-(2*VLOOKUP(C17,$Q$5:$U$11,4,FALSE))</f>
        <v>158</v>
      </c>
      <c r="I17" s="533">
        <f>24-(2*VLOOKUP(C17,$Q$5:$U$11,4,FALSE))</f>
        <v>14</v>
      </c>
      <c r="J17" s="226">
        <f>VLOOKUP(C17,$Q$5:$U$11,5,FALSE)</f>
        <v>8</v>
      </c>
      <c r="K17" s="533">
        <v>150</v>
      </c>
      <c r="L17" s="538">
        <f t="shared" si="1"/>
        <v>335.29343999999998</v>
      </c>
      <c r="M17" s="529" t="s">
        <v>43</v>
      </c>
    </row>
    <row r="18" spans="1:17" ht="127.5" customHeight="1" x14ac:dyDescent="0.25">
      <c r="A18" s="1242"/>
      <c r="B18" s="539" t="s">
        <v>35</v>
      </c>
      <c r="C18" s="146" t="s">
        <v>18</v>
      </c>
      <c r="D18" s="536">
        <f>(4*8)*2</f>
        <v>64</v>
      </c>
      <c r="E18" s="537">
        <f>(H18*2)+(I18*2)+(J18*4)+(K18*2)</f>
        <v>476</v>
      </c>
      <c r="F18" s="1157"/>
      <c r="G18" s="1158"/>
      <c r="H18" s="539">
        <f>168-(2*VLOOKUP(C18,$Q$5:$U$11,4,FALSE))</f>
        <v>158</v>
      </c>
      <c r="I18" s="533">
        <f>24-(2*VLOOKUP(C18,$Q$5:$U$11,4,FALSE))</f>
        <v>14</v>
      </c>
      <c r="J18" s="226">
        <f>VLOOKUP(C18,$Q$5:$U$11,5,FALSE)</f>
        <v>8</v>
      </c>
      <c r="K18" s="533">
        <v>50</v>
      </c>
      <c r="L18" s="538">
        <f t="shared" si="1"/>
        <v>303.42143999999996</v>
      </c>
      <c r="M18" s="529" t="s">
        <v>43</v>
      </c>
    </row>
    <row r="19" spans="1:17" ht="127.5" customHeight="1" x14ac:dyDescent="0.25">
      <c r="A19" s="1242"/>
      <c r="B19" s="539" t="s">
        <v>36</v>
      </c>
      <c r="C19" s="146" t="s">
        <v>18</v>
      </c>
      <c r="D19" s="536">
        <f>(4*8)*4</f>
        <v>128</v>
      </c>
      <c r="E19" s="537">
        <f>(H19*2)+(I19*2)+(J19*5)+(K19*2)</f>
        <v>334</v>
      </c>
      <c r="F19" s="210"/>
      <c r="G19" s="211"/>
      <c r="H19" s="539">
        <f>((129+142+132+129)/4)-(2*VLOOKUP(C17,$Q$5:$U$11,4,FALSE))</f>
        <v>123</v>
      </c>
      <c r="I19" s="533">
        <f>24-(2*VLOOKUP(C19,$Q$5:$U$11,4,FALSE))</f>
        <v>14</v>
      </c>
      <c r="J19" s="226">
        <f>VLOOKUP(C19,$Q$5:$U$11,5,FALSE)</f>
        <v>8</v>
      </c>
      <c r="K19" s="533">
        <v>10</v>
      </c>
      <c r="L19" s="538">
        <f t="shared" si="1"/>
        <v>425.80991999999998</v>
      </c>
      <c r="M19" s="529" t="s">
        <v>43</v>
      </c>
    </row>
    <row r="20" spans="1:17" ht="95.25" customHeight="1" thickBot="1" x14ac:dyDescent="0.3">
      <c r="A20" s="1242"/>
      <c r="B20" s="497" t="s">
        <v>15</v>
      </c>
      <c r="C20" s="498" t="s">
        <v>18</v>
      </c>
      <c r="D20" s="159">
        <f>(2*8)*5</f>
        <v>80</v>
      </c>
      <c r="E20" s="165">
        <f>H20+(I20*2)+26+25+4+5+3+4</f>
        <v>398</v>
      </c>
      <c r="F20" s="1157"/>
      <c r="G20" s="1158"/>
      <c r="H20" s="497">
        <v>131</v>
      </c>
      <c r="I20" s="164">
        <v>100</v>
      </c>
      <c r="J20" s="283">
        <f>VLOOKUP(C20,$Q$5:$U$11,5,FALSE)</f>
        <v>8</v>
      </c>
      <c r="K20" s="164"/>
      <c r="L20" s="108">
        <f t="shared" si="1"/>
        <v>317.12639999999999</v>
      </c>
      <c r="M20" s="529" t="s">
        <v>43</v>
      </c>
    </row>
    <row r="21" spans="1:17" ht="91.5" customHeight="1" thickBot="1" x14ac:dyDescent="0.3">
      <c r="A21" s="1243"/>
      <c r="B21" s="501" t="s">
        <v>34</v>
      </c>
      <c r="C21" s="502" t="s">
        <v>17</v>
      </c>
      <c r="D21" s="503">
        <f>(4*2)*5</f>
        <v>40</v>
      </c>
      <c r="E21" s="554">
        <f>H21+I21*2</f>
        <v>891.23030000000006</v>
      </c>
      <c r="F21" s="212"/>
      <c r="G21" s="213"/>
      <c r="H21" s="504">
        <v>861.23030000000006</v>
      </c>
      <c r="I21" s="502">
        <v>15</v>
      </c>
      <c r="J21" s="502"/>
      <c r="K21" s="502"/>
      <c r="L21" s="505">
        <f t="shared" si="1"/>
        <v>796.75988820000009</v>
      </c>
      <c r="M21" s="529" t="s">
        <v>43</v>
      </c>
    </row>
    <row r="22" spans="1:17" ht="22.5" customHeight="1" thickBot="1" x14ac:dyDescent="0.3">
      <c r="A22" s="160"/>
      <c r="B22" s="161"/>
      <c r="C22" s="162"/>
      <c r="D22" s="162"/>
      <c r="E22" s="162"/>
      <c r="F22" s="1185" t="s">
        <v>120</v>
      </c>
      <c r="G22" s="1186"/>
      <c r="H22" s="1187"/>
      <c r="I22" s="1187"/>
      <c r="J22" s="1187"/>
      <c r="K22" s="1188"/>
      <c r="L22" s="163"/>
      <c r="M22" s="529"/>
    </row>
    <row r="23" spans="1:17" ht="22.5" customHeight="1" x14ac:dyDescent="0.25">
      <c r="A23" s="19"/>
      <c r="B23" s="1189"/>
      <c r="C23" s="1190"/>
      <c r="D23" s="1190"/>
      <c r="E23" s="1190"/>
      <c r="F23" s="1206" t="s">
        <v>80</v>
      </c>
      <c r="G23" s="1207"/>
      <c r="H23" s="1208"/>
      <c r="I23" s="1234" t="s">
        <v>51</v>
      </c>
      <c r="J23" s="1235"/>
      <c r="K23" s="104" t="s">
        <v>52</v>
      </c>
      <c r="L23" s="105"/>
      <c r="M23" s="529"/>
    </row>
    <row r="24" spans="1:17" x14ac:dyDescent="0.25">
      <c r="A24" s="14"/>
      <c r="B24" s="928"/>
      <c r="C24" s="929"/>
      <c r="D24" s="929"/>
      <c r="E24" s="929"/>
      <c r="F24" s="1228" t="s">
        <v>107</v>
      </c>
      <c r="G24" s="1229"/>
      <c r="H24" s="1230"/>
      <c r="I24" s="1209" t="s">
        <v>30</v>
      </c>
      <c r="J24" s="1210"/>
      <c r="K24" s="542">
        <f>SUM(L4:L20)</f>
        <v>19096.446482369996</v>
      </c>
      <c r="L24" s="107"/>
      <c r="M24" s="529"/>
      <c r="O24" s="23"/>
    </row>
    <row r="25" spans="1:17" ht="15.75" thickBot="1" x14ac:dyDescent="0.3">
      <c r="A25" s="18"/>
      <c r="B25" s="964"/>
      <c r="C25" s="965"/>
      <c r="D25" s="965"/>
      <c r="E25" s="965"/>
      <c r="F25" s="1225" t="s">
        <v>298</v>
      </c>
      <c r="G25" s="1226"/>
      <c r="H25" s="1227"/>
      <c r="I25" s="1209"/>
      <c r="J25" s="1210"/>
      <c r="K25" s="542"/>
      <c r="L25" s="107"/>
      <c r="M25" s="529"/>
    </row>
    <row r="26" spans="1:17" x14ac:dyDescent="0.25">
      <c r="A26" s="17"/>
      <c r="B26" s="928"/>
      <c r="C26" s="929"/>
      <c r="D26" s="929"/>
      <c r="E26" s="929"/>
      <c r="F26" s="1220" t="s">
        <v>107</v>
      </c>
      <c r="G26" s="1221"/>
      <c r="H26" s="1222"/>
      <c r="I26" s="1209" t="s">
        <v>29</v>
      </c>
      <c r="J26" s="1210"/>
      <c r="K26" s="542">
        <f>G45</f>
        <v>143.76610200000002</v>
      </c>
      <c r="L26" s="107"/>
      <c r="M26" s="529"/>
      <c r="Q26" t="s">
        <v>102</v>
      </c>
    </row>
    <row r="27" spans="1:17" x14ac:dyDescent="0.25">
      <c r="A27" s="17"/>
      <c r="B27" s="1223"/>
      <c r="C27" s="1224"/>
      <c r="D27" s="1224"/>
      <c r="E27" s="1224"/>
      <c r="F27" s="1220" t="s">
        <v>115</v>
      </c>
      <c r="G27" s="1221"/>
      <c r="H27" s="1222"/>
      <c r="I27" s="1209" t="s">
        <v>30</v>
      </c>
      <c r="J27" s="1210"/>
      <c r="K27" s="543">
        <f>$L$21</f>
        <v>796.75988820000009</v>
      </c>
      <c r="L27" s="107"/>
      <c r="M27" s="529"/>
    </row>
    <row r="28" spans="1:17" x14ac:dyDescent="0.25">
      <c r="A28" s="17"/>
      <c r="B28" s="928"/>
      <c r="C28" s="929"/>
      <c r="D28" s="929"/>
      <c r="E28" s="929"/>
      <c r="F28" s="1220" t="s">
        <v>108</v>
      </c>
      <c r="G28" s="1221"/>
      <c r="H28" s="1222"/>
      <c r="I28" s="1209" t="s">
        <v>30</v>
      </c>
      <c r="J28" s="1210"/>
      <c r="K28" s="542">
        <f>(L38*O38)+(L40*O40)</f>
        <v>275.2</v>
      </c>
      <c r="L28" s="107"/>
      <c r="M28" s="529"/>
    </row>
    <row r="29" spans="1:17" x14ac:dyDescent="0.25">
      <c r="A29" s="17"/>
      <c r="B29" s="928"/>
      <c r="C29" s="929"/>
      <c r="D29" s="929"/>
      <c r="E29" s="929"/>
      <c r="F29" s="1220" t="s">
        <v>74</v>
      </c>
      <c r="G29" s="1221"/>
      <c r="H29" s="1222"/>
      <c r="I29" s="1209" t="s">
        <v>29</v>
      </c>
      <c r="J29" s="1210"/>
      <c r="K29" s="542">
        <f>G38</f>
        <v>25.819596000000004</v>
      </c>
      <c r="L29" s="107"/>
      <c r="M29" s="529"/>
    </row>
    <row r="30" spans="1:17" ht="15.75" thickBot="1" x14ac:dyDescent="0.3">
      <c r="A30" s="17"/>
      <c r="B30" s="1020"/>
      <c r="C30" s="1021"/>
      <c r="D30" s="1021"/>
      <c r="E30" s="1021"/>
      <c r="F30" s="1211" t="s">
        <v>355</v>
      </c>
      <c r="G30" s="1212"/>
      <c r="H30" s="1213"/>
      <c r="I30" s="1199" t="s">
        <v>45</v>
      </c>
      <c r="J30" s="1200"/>
      <c r="K30" s="544">
        <f>F51</f>
        <v>128</v>
      </c>
      <c r="L30" s="107"/>
      <c r="M30" s="529"/>
    </row>
    <row r="31" spans="1:17" ht="15.75" thickBot="1" x14ac:dyDescent="0.3">
      <c r="A31" s="17"/>
      <c r="B31" s="17"/>
      <c r="C31" s="17"/>
      <c r="D31" s="17"/>
      <c r="E31" s="17"/>
      <c r="L31" s="17"/>
      <c r="M31" s="92"/>
    </row>
    <row r="32" spans="1:17" ht="15.75" thickBot="1" x14ac:dyDescent="0.3">
      <c r="A32" s="17"/>
      <c r="B32" s="17"/>
      <c r="C32" s="17"/>
      <c r="D32" s="17"/>
      <c r="E32" s="17"/>
      <c r="F32" s="1039" t="s">
        <v>129</v>
      </c>
      <c r="G32" s="1217"/>
      <c r="H32" s="1040"/>
      <c r="I32" s="1231" t="s">
        <v>29</v>
      </c>
      <c r="J32" s="1232"/>
      <c r="K32" s="139">
        <f>(K24/K33)</f>
        <v>2.4326683417031845</v>
      </c>
      <c r="L32" s="17"/>
      <c r="M32" s="92"/>
    </row>
    <row r="33" spans="1:16" ht="15.75" thickBot="1" x14ac:dyDescent="0.3">
      <c r="A33" s="17"/>
      <c r="B33" s="17"/>
      <c r="C33" s="17"/>
      <c r="D33" s="17"/>
      <c r="E33" s="17"/>
      <c r="F33" s="140" t="s">
        <v>130</v>
      </c>
      <c r="G33" s="133"/>
      <c r="H33" s="134"/>
      <c r="I33" s="131" t="s">
        <v>128</v>
      </c>
      <c r="J33" s="528"/>
      <c r="K33" s="53">
        <v>7850</v>
      </c>
      <c r="L33" s="17"/>
      <c r="M33" s="92"/>
    </row>
    <row r="34" spans="1:16" x14ac:dyDescent="0.25">
      <c r="M34" s="92"/>
    </row>
    <row r="35" spans="1:16" x14ac:dyDescent="0.25">
      <c r="M35" s="92"/>
    </row>
    <row r="36" spans="1:16" ht="15.75" thickBot="1" x14ac:dyDescent="0.3">
      <c r="M36" s="92"/>
    </row>
    <row r="37" spans="1:16" ht="21" customHeight="1" x14ac:dyDescent="0.25">
      <c r="C37" s="510" t="s">
        <v>81</v>
      </c>
      <c r="D37" s="511"/>
      <c r="E37" s="511" t="s">
        <v>40</v>
      </c>
      <c r="F37" s="511" t="s">
        <v>83</v>
      </c>
      <c r="G37" s="508" t="s">
        <v>285</v>
      </c>
      <c r="H37" s="308"/>
      <c r="K37" s="1077" t="s">
        <v>251</v>
      </c>
      <c r="L37" s="1077"/>
      <c r="M37" s="1077"/>
      <c r="N37" s="1078"/>
      <c r="O37" s="1" t="s">
        <v>253</v>
      </c>
    </row>
    <row r="38" spans="1:16" ht="21" customHeight="1" x14ac:dyDescent="0.25">
      <c r="B38" s="308" t="s">
        <v>346</v>
      </c>
      <c r="C38" s="1214">
        <v>0.04</v>
      </c>
      <c r="D38" s="506"/>
      <c r="E38" s="506">
        <v>322.47500000000002</v>
      </c>
      <c r="F38" s="506">
        <f>E38*$C$38</f>
        <v>12.899000000000001</v>
      </c>
      <c r="G38" s="1218">
        <f>F38+F39</f>
        <v>25.819596000000004</v>
      </c>
      <c r="H38" s="925" t="s">
        <v>43</v>
      </c>
      <c r="L38" s="1">
        <v>5.6</v>
      </c>
      <c r="M38" s="541"/>
      <c r="N38" s="1"/>
      <c r="O38" s="1">
        <f>(2*4)*4</f>
        <v>32</v>
      </c>
      <c r="P38" t="s">
        <v>43</v>
      </c>
    </row>
    <row r="39" spans="1:16" ht="21" customHeight="1" thickBot="1" x14ac:dyDescent="0.3">
      <c r="B39" s="308" t="s">
        <v>347</v>
      </c>
      <c r="C39" s="1215"/>
      <c r="D39" s="507"/>
      <c r="E39" s="507">
        <v>323.01490000000001</v>
      </c>
      <c r="F39" s="506">
        <f>E39*$C$38</f>
        <v>12.920596000000002</v>
      </c>
      <c r="G39" s="1219"/>
      <c r="H39" s="925"/>
      <c r="K39" s="1236" t="s">
        <v>252</v>
      </c>
      <c r="L39" s="1236"/>
      <c r="M39" s="1236"/>
      <c r="N39" s="1237"/>
      <c r="O39" s="1"/>
    </row>
    <row r="40" spans="1:16" ht="21" customHeight="1" x14ac:dyDescent="0.25">
      <c r="B40" s="308"/>
      <c r="C40" s="510" t="s">
        <v>81</v>
      </c>
      <c r="D40" s="511"/>
      <c r="E40" s="511" t="s">
        <v>40</v>
      </c>
      <c r="F40" s="511" t="s">
        <v>141</v>
      </c>
      <c r="G40" s="509"/>
      <c r="H40" s="308"/>
      <c r="L40" s="1">
        <v>1.5</v>
      </c>
      <c r="M40" s="541"/>
      <c r="N40" s="1"/>
      <c r="O40" s="1">
        <f>(4*4)*4</f>
        <v>64</v>
      </c>
      <c r="P40" t="s">
        <v>43</v>
      </c>
    </row>
    <row r="41" spans="1:16" ht="21" customHeight="1" x14ac:dyDescent="0.25">
      <c r="B41" s="308" t="s">
        <v>346</v>
      </c>
      <c r="C41" s="1214">
        <v>0.18</v>
      </c>
      <c r="D41" s="506"/>
      <c r="E41" s="506">
        <v>322.47500000000002</v>
      </c>
      <c r="F41" s="506">
        <f>E41*$C$41</f>
        <v>58.045500000000004</v>
      </c>
      <c r="G41" s="1218">
        <f>F41+F42</f>
        <v>116.18818200000001</v>
      </c>
      <c r="H41" s="1216" t="s">
        <v>43</v>
      </c>
      <c r="M41" s="92"/>
    </row>
    <row r="42" spans="1:16" ht="21" customHeight="1" thickBot="1" x14ac:dyDescent="0.3">
      <c r="B42" s="308" t="s">
        <v>347</v>
      </c>
      <c r="C42" s="1215"/>
      <c r="D42" s="507"/>
      <c r="E42" s="507">
        <v>323.01490000000001</v>
      </c>
      <c r="F42" s="506">
        <f>E42*$C$41</f>
        <v>58.142682000000001</v>
      </c>
      <c r="G42" s="1219"/>
      <c r="H42" s="925"/>
      <c r="M42" s="92"/>
    </row>
    <row r="43" spans="1:16" ht="21" customHeight="1" thickBot="1" x14ac:dyDescent="0.3">
      <c r="B43" s="308"/>
      <c r="C43" s="512" t="s">
        <v>81</v>
      </c>
      <c r="D43" s="513" t="s">
        <v>40</v>
      </c>
      <c r="E43" s="513" t="s">
        <v>97</v>
      </c>
      <c r="F43" s="513" t="s">
        <v>142</v>
      </c>
      <c r="G43" s="514"/>
      <c r="H43" s="925"/>
      <c r="M43" s="92"/>
    </row>
    <row r="44" spans="1:16" ht="21" customHeight="1" thickBot="1" x14ac:dyDescent="0.3">
      <c r="B44" s="308"/>
      <c r="C44" s="519">
        <v>0.3</v>
      </c>
      <c r="D44" s="516">
        <v>2.8727</v>
      </c>
      <c r="E44" s="518">
        <f>8*4</f>
        <v>32</v>
      </c>
      <c r="F44" s="516">
        <f>D44*E44*$C$44</f>
        <v>27.577919999999999</v>
      </c>
      <c r="G44" s="517">
        <f>F44</f>
        <v>27.577919999999999</v>
      </c>
      <c r="H44" s="925"/>
      <c r="M44" s="92"/>
    </row>
    <row r="45" spans="1:16" ht="21" customHeight="1" thickBot="1" x14ac:dyDescent="0.3">
      <c r="C45" s="515"/>
      <c r="D45" s="516"/>
      <c r="E45" s="516"/>
      <c r="F45" s="520" t="s">
        <v>285</v>
      </c>
      <c r="G45" s="521">
        <f>SUM(G41:G44)</f>
        <v>143.76610200000002</v>
      </c>
      <c r="H45" s="925"/>
      <c r="M45" s="92"/>
    </row>
    <row r="46" spans="1:16" x14ac:dyDescent="0.25">
      <c r="M46" s="92"/>
    </row>
    <row r="47" spans="1:16" x14ac:dyDescent="0.25">
      <c r="M47" s="92"/>
    </row>
    <row r="48" spans="1:16" x14ac:dyDescent="0.25">
      <c r="C48" t="s">
        <v>170</v>
      </c>
      <c r="M48" s="92"/>
    </row>
    <row r="49" spans="1:15" x14ac:dyDescent="0.25">
      <c r="M49" s="92"/>
    </row>
    <row r="50" spans="1:15" x14ac:dyDescent="0.25">
      <c r="C50" s="1" t="s">
        <v>171</v>
      </c>
      <c r="D50" s="996" t="s">
        <v>172</v>
      </c>
      <c r="E50" s="996"/>
      <c r="F50" s="1" t="s">
        <v>152</v>
      </c>
      <c r="M50" s="92"/>
    </row>
    <row r="51" spans="1:15" x14ac:dyDescent="0.25">
      <c r="C51" s="81">
        <v>4</v>
      </c>
      <c r="D51" s="996">
        <v>32</v>
      </c>
      <c r="E51" s="996"/>
      <c r="F51" s="1">
        <f>C51*D51</f>
        <v>128</v>
      </c>
      <c r="G51" t="s">
        <v>43</v>
      </c>
      <c r="M51" s="92"/>
    </row>
    <row r="52" spans="1:15" x14ac:dyDescent="0.25">
      <c r="M52" s="92"/>
    </row>
    <row r="53" spans="1:15" x14ac:dyDescent="0.25">
      <c r="C53" s="2"/>
      <c r="D53" s="2"/>
      <c r="E53" s="2"/>
      <c r="F53" s="2"/>
      <c r="M53" s="92"/>
    </row>
    <row r="54" spans="1:15" x14ac:dyDescent="0.25">
      <c r="C54" s="2"/>
      <c r="D54" s="2"/>
      <c r="E54" s="2"/>
      <c r="F54" s="2"/>
      <c r="M54" s="92"/>
    </row>
    <row r="55" spans="1:15" x14ac:dyDescent="0.25">
      <c r="M55" s="92"/>
    </row>
    <row r="56" spans="1:15" ht="15.75" thickBot="1" x14ac:dyDescent="0.3">
      <c r="M56" s="92"/>
    </row>
    <row r="57" spans="1:15" ht="19.5" thickBot="1" x14ac:dyDescent="0.35">
      <c r="A57" s="1163" t="s">
        <v>214</v>
      </c>
      <c r="B57" s="1164"/>
      <c r="C57" s="1164"/>
      <c r="D57" s="1164"/>
      <c r="E57" s="1164"/>
      <c r="F57" s="1164"/>
      <c r="G57" s="1164"/>
      <c r="H57" s="1164"/>
      <c r="I57" s="1164"/>
      <c r="J57" s="1164"/>
      <c r="K57" s="1164"/>
      <c r="L57" s="1165"/>
      <c r="M57" s="92"/>
    </row>
    <row r="58" spans="1:15" ht="15.75" thickBot="1" x14ac:dyDescent="0.3">
      <c r="A58" s="551"/>
      <c r="B58" s="552"/>
      <c r="C58" s="552"/>
      <c r="D58" s="552"/>
      <c r="E58" s="552"/>
      <c r="F58" s="552"/>
      <c r="G58" s="552"/>
      <c r="H58" s="552"/>
      <c r="I58" s="552"/>
      <c r="J58" s="552"/>
      <c r="K58" s="552"/>
      <c r="L58" s="553"/>
      <c r="M58" s="92"/>
    </row>
    <row r="59" spans="1:15" ht="15" customHeight="1" thickBot="1" x14ac:dyDescent="0.3">
      <c r="A59" s="548" t="s">
        <v>0</v>
      </c>
      <c r="B59" s="549" t="s">
        <v>1</v>
      </c>
      <c r="C59" s="549" t="s">
        <v>2</v>
      </c>
      <c r="D59" s="549" t="s">
        <v>3</v>
      </c>
      <c r="E59" s="550" t="s">
        <v>4</v>
      </c>
      <c r="F59" s="1082" t="s">
        <v>5</v>
      </c>
      <c r="G59" s="1082"/>
      <c r="H59" s="548" t="s">
        <v>7</v>
      </c>
      <c r="I59" s="549" t="s">
        <v>8</v>
      </c>
      <c r="J59" s="549" t="s">
        <v>28</v>
      </c>
      <c r="K59" s="549" t="s">
        <v>44</v>
      </c>
      <c r="L59" s="550" t="s">
        <v>9</v>
      </c>
      <c r="M59" s="327"/>
    </row>
    <row r="60" spans="1:15" ht="32.25" customHeight="1" x14ac:dyDescent="0.25">
      <c r="A60" s="545"/>
      <c r="B60" s="546" t="s">
        <v>37</v>
      </c>
      <c r="C60" s="547" t="s">
        <v>18</v>
      </c>
      <c r="D60" s="530">
        <f>(30*2)*2</f>
        <v>120</v>
      </c>
      <c r="E60" s="532">
        <f>H60+(I60*2)+(J60*2)</f>
        <v>1133.5</v>
      </c>
      <c r="F60" s="11"/>
      <c r="G60" s="11"/>
      <c r="H60" s="467">
        <f>((1110+1105)/2)-(2*VLOOKUP(C60,Q5:U11,4,FALSE))</f>
        <v>1097.5</v>
      </c>
      <c r="I60" s="469">
        <v>10</v>
      </c>
      <c r="J60" s="535">
        <f>VLOOKUP(C60,$Q$5:$U$11,5,FALSE)</f>
        <v>8</v>
      </c>
      <c r="K60" s="469"/>
      <c r="L60" s="104">
        <f>(E60/100)*D60*VLOOKUP(C60,$Q$5:$U$11,3,FALSE)</f>
        <v>1354.7592</v>
      </c>
      <c r="M60" s="525" t="s">
        <v>43</v>
      </c>
    </row>
    <row r="61" spans="1:15" ht="32.25" customHeight="1" x14ac:dyDescent="0.25">
      <c r="A61" s="1201" t="s">
        <v>293</v>
      </c>
      <c r="B61" s="539" t="s">
        <v>101</v>
      </c>
      <c r="C61" s="536" t="s">
        <v>17</v>
      </c>
      <c r="D61" s="536">
        <f>44+44</f>
        <v>88</v>
      </c>
      <c r="E61" s="537">
        <f>H61+(I61*2)+(J61*2)</f>
        <v>618</v>
      </c>
      <c r="F61" s="377"/>
      <c r="G61" s="252"/>
      <c r="H61" s="539">
        <f>600-(2*5)-(2*(VLOOKUP(C61,$Q$5:$U$11,4,FALSE)))</f>
        <v>576</v>
      </c>
      <c r="I61" s="533">
        <v>10</v>
      </c>
      <c r="J61" s="226">
        <f>VLOOKUP(C61,$Q$5:$U$11,5,FALSE)</f>
        <v>11</v>
      </c>
      <c r="K61" s="536"/>
      <c r="L61" s="113">
        <f>((E61/100)*D61*VLOOKUP(C61,$Q$5:$U$11,3,FALSE))</f>
        <v>1215.4823999999996</v>
      </c>
      <c r="M61" s="525" t="s">
        <v>43</v>
      </c>
      <c r="O61" s="17"/>
    </row>
    <row r="62" spans="1:15" ht="32.25" customHeight="1" x14ac:dyDescent="0.25">
      <c r="A62" s="1201"/>
      <c r="B62" s="539" t="s">
        <v>349</v>
      </c>
      <c r="C62" s="536" t="s">
        <v>18</v>
      </c>
      <c r="D62" s="536">
        <f>44+44</f>
        <v>88</v>
      </c>
      <c r="E62" s="537">
        <f>H62+(I62*2)+(J62*2)</f>
        <v>616</v>
      </c>
      <c r="F62" s="377"/>
      <c r="G62" s="252"/>
      <c r="H62" s="539">
        <f>600-(2*5)-(2*(VLOOKUP(C62,$Q$5:$U$11,4,FALSE)))</f>
        <v>580</v>
      </c>
      <c r="I62" s="533">
        <v>10</v>
      </c>
      <c r="J62" s="226">
        <f>VLOOKUP(C62,$Q$5:$U$11,5,FALSE)</f>
        <v>8</v>
      </c>
      <c r="K62" s="536"/>
      <c r="L62" s="113">
        <f>((E62/100)*D62*VLOOKUP(C62,$Q$5:$U$11,3,FALSE))</f>
        <v>539.91168000000005</v>
      </c>
      <c r="M62" s="525" t="s">
        <v>43</v>
      </c>
    </row>
    <row r="63" spans="1:15" ht="32.25" customHeight="1" x14ac:dyDescent="0.25">
      <c r="A63" s="1201"/>
      <c r="B63" s="1181" t="s">
        <v>350</v>
      </c>
      <c r="C63" s="536" t="s">
        <v>17</v>
      </c>
      <c r="D63" s="536">
        <v>11</v>
      </c>
      <c r="E63" s="537">
        <f>H63+(I63*2)+(J63*2)</f>
        <v>610</v>
      </c>
      <c r="F63" s="377"/>
      <c r="G63" s="427" t="s">
        <v>31</v>
      </c>
      <c r="H63" s="539">
        <f>582-(2*(VLOOKUP(C63,$Q$5:$U$11,4,FALSE)))</f>
        <v>568</v>
      </c>
      <c r="I63" s="533">
        <v>10</v>
      </c>
      <c r="J63" s="226">
        <f>VLOOKUP(C63,$Q$5:$U$11,5,FALSE)</f>
        <v>11</v>
      </c>
      <c r="K63" s="536"/>
      <c r="L63" s="113">
        <f>((((E63+E64)/2)/100)*D63*VLOOKUP(C63,$Q$5:$U$11,3,FALSE))*O63</f>
        <v>328.94729999999998</v>
      </c>
      <c r="M63" s="525" t="s">
        <v>43</v>
      </c>
      <c r="O63" s="148">
        <v>4</v>
      </c>
    </row>
    <row r="64" spans="1:15" ht="32.25" customHeight="1" x14ac:dyDescent="0.25">
      <c r="A64" s="1201"/>
      <c r="B64" s="1181"/>
      <c r="C64" s="1018"/>
      <c r="D64" s="1018"/>
      <c r="E64" s="537">
        <f>H64+(I64*2)+(J64*2)</f>
        <v>59</v>
      </c>
      <c r="F64" s="377"/>
      <c r="G64" s="427" t="s">
        <v>32</v>
      </c>
      <c r="H64" s="539">
        <f>31-(2*(VLOOKUP(C63,$Q$5:$U$11,4,FALSE)))</f>
        <v>17</v>
      </c>
      <c r="I64" s="533">
        <v>10</v>
      </c>
      <c r="J64" s="226">
        <f>VLOOKUP(C63,$Q$5:$U$11,5,FALSE)</f>
        <v>11</v>
      </c>
      <c r="K64" s="536"/>
      <c r="L64" s="537"/>
      <c r="M64" s="525"/>
    </row>
    <row r="65" spans="1:15" ht="32.25" customHeight="1" x14ac:dyDescent="0.25">
      <c r="A65" s="1201"/>
      <c r="B65" s="1181"/>
      <c r="C65" s="1018" t="str">
        <f>CONCATENATE(O63," juegos de ",D63," vars.")</f>
        <v>4 juegos de 11 vars.</v>
      </c>
      <c r="D65" s="1018"/>
      <c r="E65" s="1019"/>
      <c r="F65" s="377"/>
      <c r="G65" s="427" t="s">
        <v>88</v>
      </c>
      <c r="H65" s="439">
        <f>(H63-H64)/(D63-1)</f>
        <v>55.1</v>
      </c>
      <c r="I65" s="533"/>
      <c r="J65" s="533"/>
      <c r="K65" s="536"/>
      <c r="L65" s="537"/>
      <c r="M65" s="525"/>
      <c r="O65" t="s">
        <v>242</v>
      </c>
    </row>
    <row r="66" spans="1:15" ht="32.25" customHeight="1" x14ac:dyDescent="0.25">
      <c r="A66" s="1201"/>
      <c r="B66" s="1181" t="s">
        <v>351</v>
      </c>
      <c r="C66" s="536" t="s">
        <v>18</v>
      </c>
      <c r="D66" s="536">
        <v>11</v>
      </c>
      <c r="E66" s="537">
        <f>H66+(I66*2)+(J66*2)</f>
        <v>608</v>
      </c>
      <c r="F66" s="377"/>
      <c r="G66" s="427" t="s">
        <v>31</v>
      </c>
      <c r="H66" s="564">
        <f>582-(2*(VLOOKUP(C66,$Q$5:$U$11,4,FALSE)))</f>
        <v>572</v>
      </c>
      <c r="I66" s="533">
        <v>10</v>
      </c>
      <c r="J66" s="226">
        <f>VLOOKUP(C66,$Q$5:$U$11,5,FALSE)</f>
        <v>8</v>
      </c>
      <c r="K66" s="536"/>
      <c r="L66" s="113">
        <f>((((E66+E67)/2)/100)*D66*VLOOKUP(C66,$Q$5:$U$11,3,FALSE))*O66</f>
        <v>145.7148</v>
      </c>
      <c r="M66" s="525" t="s">
        <v>43</v>
      </c>
      <c r="O66" s="148">
        <v>4</v>
      </c>
    </row>
    <row r="67" spans="1:15" ht="32.25" customHeight="1" x14ac:dyDescent="0.25">
      <c r="A67" s="1201"/>
      <c r="B67" s="1181"/>
      <c r="C67" s="1018"/>
      <c r="D67" s="1018"/>
      <c r="E67" s="563">
        <f>H67+(I67*2)+(J67*2)</f>
        <v>57</v>
      </c>
      <c r="F67" s="377"/>
      <c r="G67" s="427" t="s">
        <v>32</v>
      </c>
      <c r="H67" s="564">
        <f>31-(2*(VLOOKUP(C66,$Q$5:$U$11,4,FALSE)))</f>
        <v>21</v>
      </c>
      <c r="I67" s="533">
        <v>10</v>
      </c>
      <c r="J67" s="226">
        <f>VLOOKUP(C66,$Q$5:$U$11,5,FALSE)</f>
        <v>8</v>
      </c>
      <c r="K67" s="536"/>
      <c r="L67" s="537"/>
      <c r="M67" s="525"/>
    </row>
    <row r="68" spans="1:15" ht="32.25" customHeight="1" thickBot="1" x14ac:dyDescent="0.3">
      <c r="A68" s="1201"/>
      <c r="B68" s="1182"/>
      <c r="C68" s="1179" t="str">
        <f>CONCATENATE(O66," juegos de ",D66," vars.")</f>
        <v>4 juegos de 11 vars.</v>
      </c>
      <c r="D68" s="1179"/>
      <c r="E68" s="1180"/>
      <c r="F68" s="377"/>
      <c r="G68" s="427" t="s">
        <v>88</v>
      </c>
      <c r="H68" s="339">
        <f>(H66-H67)/(D66-1)</f>
        <v>55.1</v>
      </c>
      <c r="I68" s="164"/>
      <c r="J68" s="164"/>
      <c r="K68" s="159"/>
      <c r="L68" s="165"/>
      <c r="M68" s="525"/>
    </row>
    <row r="69" spans="1:15" ht="32.25" customHeight="1" thickBot="1" x14ac:dyDescent="0.3">
      <c r="A69" s="166"/>
      <c r="B69" s="161"/>
      <c r="C69" s="162"/>
      <c r="D69" s="162"/>
      <c r="E69" s="162"/>
      <c r="F69" s="1185" t="s">
        <v>215</v>
      </c>
      <c r="G69" s="1186"/>
      <c r="H69" s="1187"/>
      <c r="I69" s="1187"/>
      <c r="J69" s="1187"/>
      <c r="K69" s="1188"/>
      <c r="L69" s="163"/>
      <c r="M69" s="92"/>
    </row>
    <row r="70" spans="1:15" ht="32.25" customHeight="1" x14ac:dyDescent="0.25">
      <c r="A70" s="167"/>
      <c r="B70" s="1189"/>
      <c r="C70" s="1190"/>
      <c r="D70" s="1190"/>
      <c r="E70" s="1190"/>
      <c r="F70" s="1191"/>
      <c r="G70" s="1192"/>
      <c r="H70" s="1193"/>
      <c r="I70" s="1194" t="s">
        <v>51</v>
      </c>
      <c r="J70" s="1195"/>
      <c r="K70" s="104" t="s">
        <v>52</v>
      </c>
      <c r="L70" s="105"/>
      <c r="M70" s="92"/>
    </row>
    <row r="71" spans="1:15" ht="32.25" customHeight="1" x14ac:dyDescent="0.25">
      <c r="A71" s="14"/>
      <c r="B71" s="928"/>
      <c r="C71" s="929"/>
      <c r="D71" s="929"/>
      <c r="E71" s="929"/>
      <c r="F71" s="1206" t="s">
        <v>80</v>
      </c>
      <c r="G71" s="1207"/>
      <c r="H71" s="1208"/>
      <c r="I71" s="1209" t="s">
        <v>30</v>
      </c>
      <c r="J71" s="1210"/>
      <c r="K71" s="538">
        <f>SUM(L60:L68)</f>
        <v>3584.8153799999995</v>
      </c>
      <c r="L71" s="107"/>
      <c r="M71" s="92"/>
    </row>
    <row r="72" spans="1:15" ht="32.25" customHeight="1" thickBot="1" x14ac:dyDescent="0.3">
      <c r="A72" s="18"/>
      <c r="B72" s="956"/>
      <c r="C72" s="957"/>
      <c r="D72" s="957"/>
      <c r="E72" s="957"/>
      <c r="F72" s="1196" t="s">
        <v>114</v>
      </c>
      <c r="G72" s="1197"/>
      <c r="H72" s="1198"/>
      <c r="I72" s="1199" t="s">
        <v>29</v>
      </c>
      <c r="J72" s="1200"/>
      <c r="K72" s="108">
        <f>F82</f>
        <v>40.197929999999999</v>
      </c>
      <c r="L72" s="110"/>
      <c r="M72" s="92"/>
    </row>
    <row r="73" spans="1:15" ht="32.25" customHeight="1" thickBot="1" x14ac:dyDescent="0.3">
      <c r="A73" s="17"/>
      <c r="B73" s="17"/>
      <c r="C73" s="17"/>
      <c r="D73" s="17"/>
      <c r="E73" s="17"/>
      <c r="F73" s="1202" t="s">
        <v>129</v>
      </c>
      <c r="G73" s="1203"/>
      <c r="H73" s="1203"/>
      <c r="I73" s="1183" t="s">
        <v>29</v>
      </c>
      <c r="J73" s="1184"/>
      <c r="K73" s="111">
        <f>(K71/K74)</f>
        <v>0.45666437961783435</v>
      </c>
      <c r="L73" s="534"/>
      <c r="M73" s="92"/>
    </row>
    <row r="74" spans="1:15" ht="32.25" customHeight="1" thickBot="1" x14ac:dyDescent="0.3">
      <c r="A74" s="17"/>
      <c r="B74" s="17"/>
      <c r="C74" s="17"/>
      <c r="D74" s="17"/>
      <c r="E74" s="17"/>
      <c r="F74" s="1204" t="s">
        <v>130</v>
      </c>
      <c r="G74" s="1205"/>
      <c r="H74" s="1205"/>
      <c r="I74" s="1183" t="s">
        <v>128</v>
      </c>
      <c r="J74" s="1184"/>
      <c r="K74" s="112">
        <v>7850</v>
      </c>
      <c r="L74" s="17"/>
      <c r="M74" s="92"/>
    </row>
    <row r="75" spans="1:15" x14ac:dyDescent="0.25">
      <c r="B75" s="17"/>
      <c r="C75" s="17"/>
      <c r="D75" s="17"/>
      <c r="E75" s="17"/>
      <c r="F75" s="17"/>
      <c r="G75" s="17"/>
      <c r="H75" s="17"/>
      <c r="I75" s="17"/>
      <c r="J75" s="17"/>
      <c r="K75" s="17"/>
      <c r="L75" s="17"/>
      <c r="M75" s="92"/>
    </row>
    <row r="76" spans="1:15" x14ac:dyDescent="0.25">
      <c r="M76" s="92"/>
    </row>
    <row r="77" spans="1:15" x14ac:dyDescent="0.25">
      <c r="M77" s="92"/>
    </row>
    <row r="78" spans="1:15" x14ac:dyDescent="0.25">
      <c r="M78" s="92"/>
    </row>
    <row r="79" spans="1:15" x14ac:dyDescent="0.25">
      <c r="C79" s="524" t="s">
        <v>81</v>
      </c>
      <c r="D79" s="524" t="s">
        <v>82</v>
      </c>
      <c r="E79" s="524" t="s">
        <v>352</v>
      </c>
      <c r="F79" s="1" t="s">
        <v>141</v>
      </c>
      <c r="G79" s="1"/>
      <c r="M79" s="92"/>
    </row>
    <row r="80" spans="1:15" x14ac:dyDescent="0.25">
      <c r="C80" s="341">
        <v>0.3</v>
      </c>
      <c r="D80" s="341"/>
      <c r="E80" s="341">
        <v>66.905199999999994</v>
      </c>
      <c r="F80" s="341">
        <f>C80*E80</f>
        <v>20.071559999999998</v>
      </c>
      <c r="G80" s="555" t="s">
        <v>229</v>
      </c>
      <c r="M80" s="92"/>
    </row>
    <row r="81" spans="3:16" x14ac:dyDescent="0.25">
      <c r="C81" s="341">
        <v>0.3</v>
      </c>
      <c r="D81" s="341"/>
      <c r="E81" s="341">
        <v>67.087900000000005</v>
      </c>
      <c r="F81" s="341">
        <f>C81*E81</f>
        <v>20.126370000000001</v>
      </c>
      <c r="G81" s="555" t="s">
        <v>229</v>
      </c>
      <c r="M81" s="92"/>
      <c r="P81" s="23" t="e">
        <f>SUM(#REF!)</f>
        <v>#REF!</v>
      </c>
    </row>
    <row r="82" spans="3:16" x14ac:dyDescent="0.25">
      <c r="C82" s="1178" t="s">
        <v>285</v>
      </c>
      <c r="D82" s="1178"/>
      <c r="E82" s="1178"/>
      <c r="F82" s="556">
        <f>SUM(F80:F81)</f>
        <v>40.197929999999999</v>
      </c>
      <c r="G82" s="557" t="s">
        <v>229</v>
      </c>
      <c r="M82" s="92"/>
    </row>
  </sheetData>
  <mergeCells count="74">
    <mergeCell ref="K37:N37"/>
    <mergeCell ref="G38:G39"/>
    <mergeCell ref="H38:H39"/>
    <mergeCell ref="B72:E72"/>
    <mergeCell ref="B71:E71"/>
    <mergeCell ref="F71:H71"/>
    <mergeCell ref="I71:J71"/>
    <mergeCell ref="F72:H72"/>
    <mergeCell ref="I72:J72"/>
    <mergeCell ref="F69:K69"/>
    <mergeCell ref="D50:E50"/>
    <mergeCell ref="K39:N39"/>
    <mergeCell ref="A57:L57"/>
    <mergeCell ref="D51:E51"/>
    <mergeCell ref="C41:C42"/>
    <mergeCell ref="G41:G42"/>
    <mergeCell ref="H41:H45"/>
    <mergeCell ref="I27:J27"/>
    <mergeCell ref="B28:E28"/>
    <mergeCell ref="F28:H28"/>
    <mergeCell ref="I28:J28"/>
    <mergeCell ref="B29:E29"/>
    <mergeCell ref="F29:H29"/>
    <mergeCell ref="I29:J29"/>
    <mergeCell ref="B30:E30"/>
    <mergeCell ref="F30:H30"/>
    <mergeCell ref="I30:J30"/>
    <mergeCell ref="F32:H32"/>
    <mergeCell ref="I32:J32"/>
    <mergeCell ref="A15:A21"/>
    <mergeCell ref="F15:G16"/>
    <mergeCell ref="F17:G17"/>
    <mergeCell ref="F18:G18"/>
    <mergeCell ref="F20:G20"/>
    <mergeCell ref="A1:L1"/>
    <mergeCell ref="A4:A14"/>
    <mergeCell ref="B5:B7"/>
    <mergeCell ref="C6:D6"/>
    <mergeCell ref="C7:E7"/>
    <mergeCell ref="B10:B12"/>
    <mergeCell ref="C11:D11"/>
    <mergeCell ref="C12:E12"/>
    <mergeCell ref="F22:K22"/>
    <mergeCell ref="B23:E23"/>
    <mergeCell ref="F23:H23"/>
    <mergeCell ref="C38:C39"/>
    <mergeCell ref="I23:J23"/>
    <mergeCell ref="B24:E24"/>
    <mergeCell ref="F24:H24"/>
    <mergeCell ref="I24:J24"/>
    <mergeCell ref="B25:E25"/>
    <mergeCell ref="F25:H25"/>
    <mergeCell ref="I25:J25"/>
    <mergeCell ref="B26:E26"/>
    <mergeCell ref="F26:H26"/>
    <mergeCell ref="I26:J26"/>
    <mergeCell ref="B27:E27"/>
    <mergeCell ref="F27:H27"/>
    <mergeCell ref="F74:H74"/>
    <mergeCell ref="I74:J74"/>
    <mergeCell ref="C82:E82"/>
    <mergeCell ref="F59:G59"/>
    <mergeCell ref="A61:A68"/>
    <mergeCell ref="B63:B65"/>
    <mergeCell ref="C64:D64"/>
    <mergeCell ref="C65:E65"/>
    <mergeCell ref="B66:B68"/>
    <mergeCell ref="C67:D67"/>
    <mergeCell ref="C68:E68"/>
    <mergeCell ref="F73:H73"/>
    <mergeCell ref="I73:J73"/>
    <mergeCell ref="B70:E70"/>
    <mergeCell ref="F70:H70"/>
    <mergeCell ref="I70:J70"/>
  </mergeCells>
  <pageMargins left="0.7" right="0.7" top="0.75" bottom="0.75" header="0.3" footer="0.3"/>
  <pageSetup orientation="portrait" r:id="rId1"/>
  <drawing r:id="rId2"/>
  <legacyDrawing r:id="rId3"/>
  <oleObjects>
    <mc:AlternateContent xmlns:mc="http://schemas.openxmlformats.org/markup-compatibility/2006">
      <mc:Choice Requires="x14">
        <oleObject progId="AutoCAD.Drawing.19" shapeId="124929" r:id="rId4">
          <objectPr defaultSize="0" autoPict="0" r:id="rId5">
            <anchor moveWithCells="1">
              <from>
                <xdr:col>5</xdr:col>
                <xdr:colOff>123825</xdr:colOff>
                <xdr:row>8</xdr:row>
                <xdr:rowOff>9525</xdr:rowOff>
              </from>
              <to>
                <xdr:col>6</xdr:col>
                <xdr:colOff>95250</xdr:colOff>
                <xdr:row>12</xdr:row>
                <xdr:rowOff>57150</xdr:rowOff>
              </to>
            </anchor>
          </objectPr>
        </oleObject>
      </mc:Choice>
      <mc:Fallback>
        <oleObject progId="AutoCAD.Drawing.19" shapeId="124929" r:id="rId4"/>
      </mc:Fallback>
    </mc:AlternateContent>
    <mc:AlternateContent xmlns:mc="http://schemas.openxmlformats.org/markup-compatibility/2006">
      <mc:Choice Requires="x14">
        <oleObject progId="AutoCAD.Drawing.19" shapeId="124930" r:id="rId6">
          <objectPr defaultSize="0" autoPict="0" r:id="rId7">
            <anchor moveWithCells="1">
              <from>
                <xdr:col>5</xdr:col>
                <xdr:colOff>666750</xdr:colOff>
                <xdr:row>20</xdr:row>
                <xdr:rowOff>95250</xdr:rowOff>
              </from>
              <to>
                <xdr:col>6</xdr:col>
                <xdr:colOff>19050</xdr:colOff>
                <xdr:row>20</xdr:row>
                <xdr:rowOff>1095375</xdr:rowOff>
              </to>
            </anchor>
          </objectPr>
        </oleObject>
      </mc:Choice>
      <mc:Fallback>
        <oleObject progId="AutoCAD.Drawing.19" shapeId="124930" r:id="rId6"/>
      </mc:Fallback>
    </mc:AlternateContent>
    <mc:AlternateContent xmlns:mc="http://schemas.openxmlformats.org/markup-compatibility/2006">
      <mc:Choice Requires="x14">
        <oleObject progId="AutoCAD.Drawing.19" shapeId="124931" r:id="rId8">
          <objectPr defaultSize="0" autoPict="0" r:id="rId9">
            <anchor moveWithCells="1">
              <from>
                <xdr:col>5</xdr:col>
                <xdr:colOff>819150</xdr:colOff>
                <xdr:row>13</xdr:row>
                <xdr:rowOff>266700</xdr:rowOff>
              </from>
              <to>
                <xdr:col>5</xdr:col>
                <xdr:colOff>2724150</xdr:colOff>
                <xdr:row>16</xdr:row>
                <xdr:rowOff>95250</xdr:rowOff>
              </to>
            </anchor>
          </objectPr>
        </oleObject>
      </mc:Choice>
      <mc:Fallback>
        <oleObject progId="AutoCAD.Drawing.19" shapeId="124931" r:id="rId8"/>
      </mc:Fallback>
    </mc:AlternateContent>
    <mc:AlternateContent xmlns:mc="http://schemas.openxmlformats.org/markup-compatibility/2006">
      <mc:Choice Requires="x14">
        <oleObject progId="AutoCAD.Drawing.19" shapeId="124932" r:id="rId10">
          <objectPr defaultSize="0" autoPict="0" r:id="rId11">
            <anchor moveWithCells="1">
              <from>
                <xdr:col>5</xdr:col>
                <xdr:colOff>1133475</xdr:colOff>
                <xdr:row>17</xdr:row>
                <xdr:rowOff>76200</xdr:rowOff>
              </from>
              <to>
                <xdr:col>5</xdr:col>
                <xdr:colOff>2505075</xdr:colOff>
                <xdr:row>17</xdr:row>
                <xdr:rowOff>1504950</xdr:rowOff>
              </to>
            </anchor>
          </objectPr>
        </oleObject>
      </mc:Choice>
      <mc:Fallback>
        <oleObject progId="AutoCAD.Drawing.19" shapeId="124932" r:id="rId10"/>
      </mc:Fallback>
    </mc:AlternateContent>
    <mc:AlternateContent xmlns:mc="http://schemas.openxmlformats.org/markup-compatibility/2006">
      <mc:Choice Requires="x14">
        <oleObject progId="AutoCAD.Drawing.19" shapeId="124933" r:id="rId12">
          <objectPr defaultSize="0" autoPict="0" r:id="rId13">
            <anchor moveWithCells="1">
              <from>
                <xdr:col>5</xdr:col>
                <xdr:colOff>847725</xdr:colOff>
                <xdr:row>16</xdr:row>
                <xdr:rowOff>0</xdr:rowOff>
              </from>
              <to>
                <xdr:col>5</xdr:col>
                <xdr:colOff>2686050</xdr:colOff>
                <xdr:row>17</xdr:row>
                <xdr:rowOff>76200</xdr:rowOff>
              </to>
            </anchor>
          </objectPr>
        </oleObject>
      </mc:Choice>
      <mc:Fallback>
        <oleObject progId="AutoCAD.Drawing.19" shapeId="124933" r:id="rId12"/>
      </mc:Fallback>
    </mc:AlternateContent>
    <mc:AlternateContent xmlns:mc="http://schemas.openxmlformats.org/markup-compatibility/2006">
      <mc:Choice Requires="x14">
        <oleObject progId="AutoCAD.Drawing.19" shapeId="124934" r:id="rId14">
          <objectPr defaultSize="0" autoPict="0" r:id="rId15">
            <anchor moveWithCells="1">
              <from>
                <xdr:col>5</xdr:col>
                <xdr:colOff>1352550</xdr:colOff>
                <xdr:row>18</xdr:row>
                <xdr:rowOff>114300</xdr:rowOff>
              </from>
              <to>
                <xdr:col>5</xdr:col>
                <xdr:colOff>2371725</xdr:colOff>
                <xdr:row>18</xdr:row>
                <xdr:rowOff>1571625</xdr:rowOff>
              </to>
            </anchor>
          </objectPr>
        </oleObject>
      </mc:Choice>
      <mc:Fallback>
        <oleObject progId="AutoCAD.Drawing.19" shapeId="124934" r:id="rId14"/>
      </mc:Fallback>
    </mc:AlternateContent>
    <mc:AlternateContent xmlns:mc="http://schemas.openxmlformats.org/markup-compatibility/2006">
      <mc:Choice Requires="x14">
        <oleObject progId="AutoCAD.Drawing.19" shapeId="124935" r:id="rId16">
          <objectPr defaultSize="0" autoPict="0" r:id="rId5">
            <anchor moveWithCells="1">
              <from>
                <xdr:col>5</xdr:col>
                <xdr:colOff>123825</xdr:colOff>
                <xdr:row>8</xdr:row>
                <xdr:rowOff>9525</xdr:rowOff>
              </from>
              <to>
                <xdr:col>6</xdr:col>
                <xdr:colOff>95250</xdr:colOff>
                <xdr:row>12</xdr:row>
                <xdr:rowOff>57150</xdr:rowOff>
              </to>
            </anchor>
          </objectPr>
        </oleObject>
      </mc:Choice>
      <mc:Fallback>
        <oleObject progId="AutoCAD.Drawing.19" shapeId="124935" r:id="rId16"/>
      </mc:Fallback>
    </mc:AlternateContent>
    <mc:AlternateContent xmlns:mc="http://schemas.openxmlformats.org/markup-compatibility/2006">
      <mc:Choice Requires="x14">
        <oleObject progId="AutoCAD.Drawing.19" shapeId="124940" r:id="rId17">
          <objectPr defaultSize="0" autoPict="0" r:id="rId5">
            <anchor moveWithCells="1">
              <from>
                <xdr:col>4</xdr:col>
                <xdr:colOff>685800</xdr:colOff>
                <xdr:row>61</xdr:row>
                <xdr:rowOff>371475</xdr:rowOff>
              </from>
              <to>
                <xdr:col>6</xdr:col>
                <xdr:colOff>295275</xdr:colOff>
                <xdr:row>65</xdr:row>
                <xdr:rowOff>304800</xdr:rowOff>
              </to>
            </anchor>
          </objectPr>
        </oleObject>
      </mc:Choice>
      <mc:Fallback>
        <oleObject progId="AutoCAD.Drawing.19" shapeId="124940" r:id="rId17"/>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F24" sqref="F24"/>
    </sheetView>
  </sheetViews>
  <sheetFormatPr baseColWidth="10" defaultRowHeight="15" x14ac:dyDescent="0.25"/>
  <cols>
    <col min="2" max="2" width="24" bestFit="1" customWidth="1"/>
    <col min="3" max="3" width="34.42578125" bestFit="1" customWidth="1"/>
    <col min="4" max="4" width="24.28515625" bestFit="1" customWidth="1"/>
    <col min="5" max="5" width="25" bestFit="1" customWidth="1"/>
    <col min="6" max="6" width="24.5703125" bestFit="1" customWidth="1"/>
    <col min="7" max="7" width="24.28515625" bestFit="1" customWidth="1"/>
    <col min="8" max="8" width="25" bestFit="1" customWidth="1"/>
    <col min="9" max="9" width="24.5703125" bestFit="1" customWidth="1"/>
    <col min="10" max="11" width="11.28515625" bestFit="1" customWidth="1"/>
    <col min="12" max="13" width="14.5703125" bestFit="1" customWidth="1"/>
    <col min="14" max="14" width="24.7109375" bestFit="1" customWidth="1"/>
    <col min="15" max="15" width="23.7109375" bestFit="1" customWidth="1"/>
    <col min="259" max="259" width="21.7109375" bestFit="1" customWidth="1"/>
    <col min="260" max="260" width="29.140625" bestFit="1" customWidth="1"/>
    <col min="261" max="261" width="20.85546875" bestFit="1" customWidth="1"/>
    <col min="262" max="262" width="22" bestFit="1" customWidth="1"/>
    <col min="263" max="263" width="21" bestFit="1" customWidth="1"/>
    <col min="264" max="265" width="22" bestFit="1" customWidth="1"/>
    <col min="266" max="267" width="11.28515625" bestFit="1" customWidth="1"/>
    <col min="268" max="269" width="14.5703125" bestFit="1" customWidth="1"/>
    <col min="270" max="270" width="24.7109375" bestFit="1" customWidth="1"/>
    <col min="271" max="271" width="23.7109375" bestFit="1" customWidth="1"/>
    <col min="515" max="515" width="21.7109375" bestFit="1" customWidth="1"/>
    <col min="516" max="516" width="29.140625" bestFit="1" customWidth="1"/>
    <col min="517" max="517" width="20.85546875" bestFit="1" customWidth="1"/>
    <col min="518" max="518" width="22" bestFit="1" customWidth="1"/>
    <col min="519" max="519" width="21" bestFit="1" customWidth="1"/>
    <col min="520" max="521" width="22" bestFit="1" customWidth="1"/>
    <col min="522" max="523" width="11.28515625" bestFit="1" customWidth="1"/>
    <col min="524" max="525" width="14.5703125" bestFit="1" customWidth="1"/>
    <col min="526" max="526" width="24.7109375" bestFit="1" customWidth="1"/>
    <col min="527" max="527" width="23.7109375" bestFit="1" customWidth="1"/>
    <col min="771" max="771" width="21.7109375" bestFit="1" customWidth="1"/>
    <col min="772" max="772" width="29.140625" bestFit="1" customWidth="1"/>
    <col min="773" max="773" width="20.85546875" bestFit="1" customWidth="1"/>
    <col min="774" max="774" width="22" bestFit="1" customWidth="1"/>
    <col min="775" max="775" width="21" bestFit="1" customWidth="1"/>
    <col min="776" max="777" width="22" bestFit="1" customWidth="1"/>
    <col min="778" max="779" width="11.28515625" bestFit="1" customWidth="1"/>
    <col min="780" max="781" width="14.5703125" bestFit="1" customWidth="1"/>
    <col min="782" max="782" width="24.7109375" bestFit="1" customWidth="1"/>
    <col min="783" max="783" width="23.7109375" bestFit="1" customWidth="1"/>
    <col min="1027" max="1027" width="21.7109375" bestFit="1" customWidth="1"/>
    <col min="1028" max="1028" width="29.140625" bestFit="1" customWidth="1"/>
    <col min="1029" max="1029" width="20.85546875" bestFit="1" customWidth="1"/>
    <col min="1030" max="1030" width="22" bestFit="1" customWidth="1"/>
    <col min="1031" max="1031" width="21" bestFit="1" customWidth="1"/>
    <col min="1032" max="1033" width="22" bestFit="1" customWidth="1"/>
    <col min="1034" max="1035" width="11.28515625" bestFit="1" customWidth="1"/>
    <col min="1036" max="1037" width="14.5703125" bestFit="1" customWidth="1"/>
    <col min="1038" max="1038" width="24.7109375" bestFit="1" customWidth="1"/>
    <col min="1039" max="1039" width="23.7109375" bestFit="1" customWidth="1"/>
    <col min="1283" max="1283" width="21.7109375" bestFit="1" customWidth="1"/>
    <col min="1284" max="1284" width="29.140625" bestFit="1" customWidth="1"/>
    <col min="1285" max="1285" width="20.85546875" bestFit="1" customWidth="1"/>
    <col min="1286" max="1286" width="22" bestFit="1" customWidth="1"/>
    <col min="1287" max="1287" width="21" bestFit="1" customWidth="1"/>
    <col min="1288" max="1289" width="22" bestFit="1" customWidth="1"/>
    <col min="1290" max="1291" width="11.28515625" bestFit="1" customWidth="1"/>
    <col min="1292" max="1293" width="14.5703125" bestFit="1" customWidth="1"/>
    <col min="1294" max="1294" width="24.7109375" bestFit="1" customWidth="1"/>
    <col min="1295" max="1295" width="23.7109375" bestFit="1" customWidth="1"/>
    <col min="1539" max="1539" width="21.7109375" bestFit="1" customWidth="1"/>
    <col min="1540" max="1540" width="29.140625" bestFit="1" customWidth="1"/>
    <col min="1541" max="1541" width="20.85546875" bestFit="1" customWidth="1"/>
    <col min="1542" max="1542" width="22" bestFit="1" customWidth="1"/>
    <col min="1543" max="1543" width="21" bestFit="1" customWidth="1"/>
    <col min="1544" max="1545" width="22" bestFit="1" customWidth="1"/>
    <col min="1546" max="1547" width="11.28515625" bestFit="1" customWidth="1"/>
    <col min="1548" max="1549" width="14.5703125" bestFit="1" customWidth="1"/>
    <col min="1550" max="1550" width="24.7109375" bestFit="1" customWidth="1"/>
    <col min="1551" max="1551" width="23.7109375" bestFit="1" customWidth="1"/>
    <col min="1795" max="1795" width="21.7109375" bestFit="1" customWidth="1"/>
    <col min="1796" max="1796" width="29.140625" bestFit="1" customWidth="1"/>
    <col min="1797" max="1797" width="20.85546875" bestFit="1" customWidth="1"/>
    <col min="1798" max="1798" width="22" bestFit="1" customWidth="1"/>
    <col min="1799" max="1799" width="21" bestFit="1" customWidth="1"/>
    <col min="1800" max="1801" width="22" bestFit="1" customWidth="1"/>
    <col min="1802" max="1803" width="11.28515625" bestFit="1" customWidth="1"/>
    <col min="1804" max="1805" width="14.5703125" bestFit="1" customWidth="1"/>
    <col min="1806" max="1806" width="24.7109375" bestFit="1" customWidth="1"/>
    <col min="1807" max="1807" width="23.7109375" bestFit="1" customWidth="1"/>
    <col min="2051" max="2051" width="21.7109375" bestFit="1" customWidth="1"/>
    <col min="2052" max="2052" width="29.140625" bestFit="1" customWidth="1"/>
    <col min="2053" max="2053" width="20.85546875" bestFit="1" customWidth="1"/>
    <col min="2054" max="2054" width="22" bestFit="1" customWidth="1"/>
    <col min="2055" max="2055" width="21" bestFit="1" customWidth="1"/>
    <col min="2056" max="2057" width="22" bestFit="1" customWidth="1"/>
    <col min="2058" max="2059" width="11.28515625" bestFit="1" customWidth="1"/>
    <col min="2060" max="2061" width="14.5703125" bestFit="1" customWidth="1"/>
    <col min="2062" max="2062" width="24.7109375" bestFit="1" customWidth="1"/>
    <col min="2063" max="2063" width="23.7109375" bestFit="1" customWidth="1"/>
    <col min="2307" max="2307" width="21.7109375" bestFit="1" customWidth="1"/>
    <col min="2308" max="2308" width="29.140625" bestFit="1" customWidth="1"/>
    <col min="2309" max="2309" width="20.85546875" bestFit="1" customWidth="1"/>
    <col min="2310" max="2310" width="22" bestFit="1" customWidth="1"/>
    <col min="2311" max="2311" width="21" bestFit="1" customWidth="1"/>
    <col min="2312" max="2313" width="22" bestFit="1" customWidth="1"/>
    <col min="2314" max="2315" width="11.28515625" bestFit="1" customWidth="1"/>
    <col min="2316" max="2317" width="14.5703125" bestFit="1" customWidth="1"/>
    <col min="2318" max="2318" width="24.7109375" bestFit="1" customWidth="1"/>
    <col min="2319" max="2319" width="23.7109375" bestFit="1" customWidth="1"/>
    <col min="2563" max="2563" width="21.7109375" bestFit="1" customWidth="1"/>
    <col min="2564" max="2564" width="29.140625" bestFit="1" customWidth="1"/>
    <col min="2565" max="2565" width="20.85546875" bestFit="1" customWidth="1"/>
    <col min="2566" max="2566" width="22" bestFit="1" customWidth="1"/>
    <col min="2567" max="2567" width="21" bestFit="1" customWidth="1"/>
    <col min="2568" max="2569" width="22" bestFit="1" customWidth="1"/>
    <col min="2570" max="2571" width="11.28515625" bestFit="1" customWidth="1"/>
    <col min="2572" max="2573" width="14.5703125" bestFit="1" customWidth="1"/>
    <col min="2574" max="2574" width="24.7109375" bestFit="1" customWidth="1"/>
    <col min="2575" max="2575" width="23.7109375" bestFit="1" customWidth="1"/>
    <col min="2819" max="2819" width="21.7109375" bestFit="1" customWidth="1"/>
    <col min="2820" max="2820" width="29.140625" bestFit="1" customWidth="1"/>
    <col min="2821" max="2821" width="20.85546875" bestFit="1" customWidth="1"/>
    <col min="2822" max="2822" width="22" bestFit="1" customWidth="1"/>
    <col min="2823" max="2823" width="21" bestFit="1" customWidth="1"/>
    <col min="2824" max="2825" width="22" bestFit="1" customWidth="1"/>
    <col min="2826" max="2827" width="11.28515625" bestFit="1" customWidth="1"/>
    <col min="2828" max="2829" width="14.5703125" bestFit="1" customWidth="1"/>
    <col min="2830" max="2830" width="24.7109375" bestFit="1" customWidth="1"/>
    <col min="2831" max="2831" width="23.7109375" bestFit="1" customWidth="1"/>
    <col min="3075" max="3075" width="21.7109375" bestFit="1" customWidth="1"/>
    <col min="3076" max="3076" width="29.140625" bestFit="1" customWidth="1"/>
    <col min="3077" max="3077" width="20.85546875" bestFit="1" customWidth="1"/>
    <col min="3078" max="3078" width="22" bestFit="1" customWidth="1"/>
    <col min="3079" max="3079" width="21" bestFit="1" customWidth="1"/>
    <col min="3080" max="3081" width="22" bestFit="1" customWidth="1"/>
    <col min="3082" max="3083" width="11.28515625" bestFit="1" customWidth="1"/>
    <col min="3084" max="3085" width="14.5703125" bestFit="1" customWidth="1"/>
    <col min="3086" max="3086" width="24.7109375" bestFit="1" customWidth="1"/>
    <col min="3087" max="3087" width="23.7109375" bestFit="1" customWidth="1"/>
    <col min="3331" max="3331" width="21.7109375" bestFit="1" customWidth="1"/>
    <col min="3332" max="3332" width="29.140625" bestFit="1" customWidth="1"/>
    <col min="3333" max="3333" width="20.85546875" bestFit="1" customWidth="1"/>
    <col min="3334" max="3334" width="22" bestFit="1" customWidth="1"/>
    <col min="3335" max="3335" width="21" bestFit="1" customWidth="1"/>
    <col min="3336" max="3337" width="22" bestFit="1" customWidth="1"/>
    <col min="3338" max="3339" width="11.28515625" bestFit="1" customWidth="1"/>
    <col min="3340" max="3341" width="14.5703125" bestFit="1" customWidth="1"/>
    <col min="3342" max="3342" width="24.7109375" bestFit="1" customWidth="1"/>
    <col min="3343" max="3343" width="23.7109375" bestFit="1" customWidth="1"/>
    <col min="3587" max="3587" width="21.7109375" bestFit="1" customWidth="1"/>
    <col min="3588" max="3588" width="29.140625" bestFit="1" customWidth="1"/>
    <col min="3589" max="3589" width="20.85546875" bestFit="1" customWidth="1"/>
    <col min="3590" max="3590" width="22" bestFit="1" customWidth="1"/>
    <col min="3591" max="3591" width="21" bestFit="1" customWidth="1"/>
    <col min="3592" max="3593" width="22" bestFit="1" customWidth="1"/>
    <col min="3594" max="3595" width="11.28515625" bestFit="1" customWidth="1"/>
    <col min="3596" max="3597" width="14.5703125" bestFit="1" customWidth="1"/>
    <col min="3598" max="3598" width="24.7109375" bestFit="1" customWidth="1"/>
    <col min="3599" max="3599" width="23.7109375" bestFit="1" customWidth="1"/>
    <col min="3843" max="3843" width="21.7109375" bestFit="1" customWidth="1"/>
    <col min="3844" max="3844" width="29.140625" bestFit="1" customWidth="1"/>
    <col min="3845" max="3845" width="20.85546875" bestFit="1" customWidth="1"/>
    <col min="3846" max="3846" width="22" bestFit="1" customWidth="1"/>
    <col min="3847" max="3847" width="21" bestFit="1" customWidth="1"/>
    <col min="3848" max="3849" width="22" bestFit="1" customWidth="1"/>
    <col min="3850" max="3851" width="11.28515625" bestFit="1" customWidth="1"/>
    <col min="3852" max="3853" width="14.5703125" bestFit="1" customWidth="1"/>
    <col min="3854" max="3854" width="24.7109375" bestFit="1" customWidth="1"/>
    <col min="3855" max="3855" width="23.7109375" bestFit="1" customWidth="1"/>
    <col min="4099" max="4099" width="21.7109375" bestFit="1" customWidth="1"/>
    <col min="4100" max="4100" width="29.140625" bestFit="1" customWidth="1"/>
    <col min="4101" max="4101" width="20.85546875" bestFit="1" customWidth="1"/>
    <col min="4102" max="4102" width="22" bestFit="1" customWidth="1"/>
    <col min="4103" max="4103" width="21" bestFit="1" customWidth="1"/>
    <col min="4104" max="4105" width="22" bestFit="1" customWidth="1"/>
    <col min="4106" max="4107" width="11.28515625" bestFit="1" customWidth="1"/>
    <col min="4108" max="4109" width="14.5703125" bestFit="1" customWidth="1"/>
    <col min="4110" max="4110" width="24.7109375" bestFit="1" customWidth="1"/>
    <col min="4111" max="4111" width="23.7109375" bestFit="1" customWidth="1"/>
    <col min="4355" max="4355" width="21.7109375" bestFit="1" customWidth="1"/>
    <col min="4356" max="4356" width="29.140625" bestFit="1" customWidth="1"/>
    <col min="4357" max="4357" width="20.85546875" bestFit="1" customWidth="1"/>
    <col min="4358" max="4358" width="22" bestFit="1" customWidth="1"/>
    <col min="4359" max="4359" width="21" bestFit="1" customWidth="1"/>
    <col min="4360" max="4361" width="22" bestFit="1" customWidth="1"/>
    <col min="4362" max="4363" width="11.28515625" bestFit="1" customWidth="1"/>
    <col min="4364" max="4365" width="14.5703125" bestFit="1" customWidth="1"/>
    <col min="4366" max="4366" width="24.7109375" bestFit="1" customWidth="1"/>
    <col min="4367" max="4367" width="23.7109375" bestFit="1" customWidth="1"/>
    <col min="4611" max="4611" width="21.7109375" bestFit="1" customWidth="1"/>
    <col min="4612" max="4612" width="29.140625" bestFit="1" customWidth="1"/>
    <col min="4613" max="4613" width="20.85546875" bestFit="1" customWidth="1"/>
    <col min="4614" max="4614" width="22" bestFit="1" customWidth="1"/>
    <col min="4615" max="4615" width="21" bestFit="1" customWidth="1"/>
    <col min="4616" max="4617" width="22" bestFit="1" customWidth="1"/>
    <col min="4618" max="4619" width="11.28515625" bestFit="1" customWidth="1"/>
    <col min="4620" max="4621" width="14.5703125" bestFit="1" customWidth="1"/>
    <col min="4622" max="4622" width="24.7109375" bestFit="1" customWidth="1"/>
    <col min="4623" max="4623" width="23.7109375" bestFit="1" customWidth="1"/>
    <col min="4867" max="4867" width="21.7109375" bestFit="1" customWidth="1"/>
    <col min="4868" max="4868" width="29.140625" bestFit="1" customWidth="1"/>
    <col min="4869" max="4869" width="20.85546875" bestFit="1" customWidth="1"/>
    <col min="4870" max="4870" width="22" bestFit="1" customWidth="1"/>
    <col min="4871" max="4871" width="21" bestFit="1" customWidth="1"/>
    <col min="4872" max="4873" width="22" bestFit="1" customWidth="1"/>
    <col min="4874" max="4875" width="11.28515625" bestFit="1" customWidth="1"/>
    <col min="4876" max="4877" width="14.5703125" bestFit="1" customWidth="1"/>
    <col min="4878" max="4878" width="24.7109375" bestFit="1" customWidth="1"/>
    <col min="4879" max="4879" width="23.7109375" bestFit="1" customWidth="1"/>
    <col min="5123" max="5123" width="21.7109375" bestFit="1" customWidth="1"/>
    <col min="5124" max="5124" width="29.140625" bestFit="1" customWidth="1"/>
    <col min="5125" max="5125" width="20.85546875" bestFit="1" customWidth="1"/>
    <col min="5126" max="5126" width="22" bestFit="1" customWidth="1"/>
    <col min="5127" max="5127" width="21" bestFit="1" customWidth="1"/>
    <col min="5128" max="5129" width="22" bestFit="1" customWidth="1"/>
    <col min="5130" max="5131" width="11.28515625" bestFit="1" customWidth="1"/>
    <col min="5132" max="5133" width="14.5703125" bestFit="1" customWidth="1"/>
    <col min="5134" max="5134" width="24.7109375" bestFit="1" customWidth="1"/>
    <col min="5135" max="5135" width="23.7109375" bestFit="1" customWidth="1"/>
    <col min="5379" max="5379" width="21.7109375" bestFit="1" customWidth="1"/>
    <col min="5380" max="5380" width="29.140625" bestFit="1" customWidth="1"/>
    <col min="5381" max="5381" width="20.85546875" bestFit="1" customWidth="1"/>
    <col min="5382" max="5382" width="22" bestFit="1" customWidth="1"/>
    <col min="5383" max="5383" width="21" bestFit="1" customWidth="1"/>
    <col min="5384" max="5385" width="22" bestFit="1" customWidth="1"/>
    <col min="5386" max="5387" width="11.28515625" bestFit="1" customWidth="1"/>
    <col min="5388" max="5389" width="14.5703125" bestFit="1" customWidth="1"/>
    <col min="5390" max="5390" width="24.7109375" bestFit="1" customWidth="1"/>
    <col min="5391" max="5391" width="23.7109375" bestFit="1" customWidth="1"/>
    <col min="5635" max="5635" width="21.7109375" bestFit="1" customWidth="1"/>
    <col min="5636" max="5636" width="29.140625" bestFit="1" customWidth="1"/>
    <col min="5637" max="5637" width="20.85546875" bestFit="1" customWidth="1"/>
    <col min="5638" max="5638" width="22" bestFit="1" customWidth="1"/>
    <col min="5639" max="5639" width="21" bestFit="1" customWidth="1"/>
    <col min="5640" max="5641" width="22" bestFit="1" customWidth="1"/>
    <col min="5642" max="5643" width="11.28515625" bestFit="1" customWidth="1"/>
    <col min="5644" max="5645" width="14.5703125" bestFit="1" customWidth="1"/>
    <col min="5646" max="5646" width="24.7109375" bestFit="1" customWidth="1"/>
    <col min="5647" max="5647" width="23.7109375" bestFit="1" customWidth="1"/>
    <col min="5891" max="5891" width="21.7109375" bestFit="1" customWidth="1"/>
    <col min="5892" max="5892" width="29.140625" bestFit="1" customWidth="1"/>
    <col min="5893" max="5893" width="20.85546875" bestFit="1" customWidth="1"/>
    <col min="5894" max="5894" width="22" bestFit="1" customWidth="1"/>
    <col min="5895" max="5895" width="21" bestFit="1" customWidth="1"/>
    <col min="5896" max="5897" width="22" bestFit="1" customWidth="1"/>
    <col min="5898" max="5899" width="11.28515625" bestFit="1" customWidth="1"/>
    <col min="5900" max="5901" width="14.5703125" bestFit="1" customWidth="1"/>
    <col min="5902" max="5902" width="24.7109375" bestFit="1" customWidth="1"/>
    <col min="5903" max="5903" width="23.7109375" bestFit="1" customWidth="1"/>
    <col min="6147" max="6147" width="21.7109375" bestFit="1" customWidth="1"/>
    <col min="6148" max="6148" width="29.140625" bestFit="1" customWidth="1"/>
    <col min="6149" max="6149" width="20.85546875" bestFit="1" customWidth="1"/>
    <col min="6150" max="6150" width="22" bestFit="1" customWidth="1"/>
    <col min="6151" max="6151" width="21" bestFit="1" customWidth="1"/>
    <col min="6152" max="6153" width="22" bestFit="1" customWidth="1"/>
    <col min="6154" max="6155" width="11.28515625" bestFit="1" customWidth="1"/>
    <col min="6156" max="6157" width="14.5703125" bestFit="1" customWidth="1"/>
    <col min="6158" max="6158" width="24.7109375" bestFit="1" customWidth="1"/>
    <col min="6159" max="6159" width="23.7109375" bestFit="1" customWidth="1"/>
    <col min="6403" max="6403" width="21.7109375" bestFit="1" customWidth="1"/>
    <col min="6404" max="6404" width="29.140625" bestFit="1" customWidth="1"/>
    <col min="6405" max="6405" width="20.85546875" bestFit="1" customWidth="1"/>
    <col min="6406" max="6406" width="22" bestFit="1" customWidth="1"/>
    <col min="6407" max="6407" width="21" bestFit="1" customWidth="1"/>
    <col min="6408" max="6409" width="22" bestFit="1" customWidth="1"/>
    <col min="6410" max="6411" width="11.28515625" bestFit="1" customWidth="1"/>
    <col min="6412" max="6413" width="14.5703125" bestFit="1" customWidth="1"/>
    <col min="6414" max="6414" width="24.7109375" bestFit="1" customWidth="1"/>
    <col min="6415" max="6415" width="23.7109375" bestFit="1" customWidth="1"/>
    <col min="6659" max="6659" width="21.7109375" bestFit="1" customWidth="1"/>
    <col min="6660" max="6660" width="29.140625" bestFit="1" customWidth="1"/>
    <col min="6661" max="6661" width="20.85546875" bestFit="1" customWidth="1"/>
    <col min="6662" max="6662" width="22" bestFit="1" customWidth="1"/>
    <col min="6663" max="6663" width="21" bestFit="1" customWidth="1"/>
    <col min="6664" max="6665" width="22" bestFit="1" customWidth="1"/>
    <col min="6666" max="6667" width="11.28515625" bestFit="1" customWidth="1"/>
    <col min="6668" max="6669" width="14.5703125" bestFit="1" customWidth="1"/>
    <col min="6670" max="6670" width="24.7109375" bestFit="1" customWidth="1"/>
    <col min="6671" max="6671" width="23.7109375" bestFit="1" customWidth="1"/>
    <col min="6915" max="6915" width="21.7109375" bestFit="1" customWidth="1"/>
    <col min="6916" max="6916" width="29.140625" bestFit="1" customWidth="1"/>
    <col min="6917" max="6917" width="20.85546875" bestFit="1" customWidth="1"/>
    <col min="6918" max="6918" width="22" bestFit="1" customWidth="1"/>
    <col min="6919" max="6919" width="21" bestFit="1" customWidth="1"/>
    <col min="6920" max="6921" width="22" bestFit="1" customWidth="1"/>
    <col min="6922" max="6923" width="11.28515625" bestFit="1" customWidth="1"/>
    <col min="6924" max="6925" width="14.5703125" bestFit="1" customWidth="1"/>
    <col min="6926" max="6926" width="24.7109375" bestFit="1" customWidth="1"/>
    <col min="6927" max="6927" width="23.7109375" bestFit="1" customWidth="1"/>
    <col min="7171" max="7171" width="21.7109375" bestFit="1" customWidth="1"/>
    <col min="7172" max="7172" width="29.140625" bestFit="1" customWidth="1"/>
    <col min="7173" max="7173" width="20.85546875" bestFit="1" customWidth="1"/>
    <col min="7174" max="7174" width="22" bestFit="1" customWidth="1"/>
    <col min="7175" max="7175" width="21" bestFit="1" customWidth="1"/>
    <col min="7176" max="7177" width="22" bestFit="1" customWidth="1"/>
    <col min="7178" max="7179" width="11.28515625" bestFit="1" customWidth="1"/>
    <col min="7180" max="7181" width="14.5703125" bestFit="1" customWidth="1"/>
    <col min="7182" max="7182" width="24.7109375" bestFit="1" customWidth="1"/>
    <col min="7183" max="7183" width="23.7109375" bestFit="1" customWidth="1"/>
    <col min="7427" max="7427" width="21.7109375" bestFit="1" customWidth="1"/>
    <col min="7428" max="7428" width="29.140625" bestFit="1" customWidth="1"/>
    <col min="7429" max="7429" width="20.85546875" bestFit="1" customWidth="1"/>
    <col min="7430" max="7430" width="22" bestFit="1" customWidth="1"/>
    <col min="7431" max="7431" width="21" bestFit="1" customWidth="1"/>
    <col min="7432" max="7433" width="22" bestFit="1" customWidth="1"/>
    <col min="7434" max="7435" width="11.28515625" bestFit="1" customWidth="1"/>
    <col min="7436" max="7437" width="14.5703125" bestFit="1" customWidth="1"/>
    <col min="7438" max="7438" width="24.7109375" bestFit="1" customWidth="1"/>
    <col min="7439" max="7439" width="23.7109375" bestFit="1" customWidth="1"/>
    <col min="7683" max="7683" width="21.7109375" bestFit="1" customWidth="1"/>
    <col min="7684" max="7684" width="29.140625" bestFit="1" customWidth="1"/>
    <col min="7685" max="7685" width="20.85546875" bestFit="1" customWidth="1"/>
    <col min="7686" max="7686" width="22" bestFit="1" customWidth="1"/>
    <col min="7687" max="7687" width="21" bestFit="1" customWidth="1"/>
    <col min="7688" max="7689" width="22" bestFit="1" customWidth="1"/>
    <col min="7690" max="7691" width="11.28515625" bestFit="1" customWidth="1"/>
    <col min="7692" max="7693" width="14.5703125" bestFit="1" customWidth="1"/>
    <col min="7694" max="7694" width="24.7109375" bestFit="1" customWidth="1"/>
    <col min="7695" max="7695" width="23.7109375" bestFit="1" customWidth="1"/>
    <col min="7939" max="7939" width="21.7109375" bestFit="1" customWidth="1"/>
    <col min="7940" max="7940" width="29.140625" bestFit="1" customWidth="1"/>
    <col min="7941" max="7941" width="20.85546875" bestFit="1" customWidth="1"/>
    <col min="7942" max="7942" width="22" bestFit="1" customWidth="1"/>
    <col min="7943" max="7943" width="21" bestFit="1" customWidth="1"/>
    <col min="7944" max="7945" width="22" bestFit="1" customWidth="1"/>
    <col min="7946" max="7947" width="11.28515625" bestFit="1" customWidth="1"/>
    <col min="7948" max="7949" width="14.5703125" bestFit="1" customWidth="1"/>
    <col min="7950" max="7950" width="24.7109375" bestFit="1" customWidth="1"/>
    <col min="7951" max="7951" width="23.7109375" bestFit="1" customWidth="1"/>
    <col min="8195" max="8195" width="21.7109375" bestFit="1" customWidth="1"/>
    <col min="8196" max="8196" width="29.140625" bestFit="1" customWidth="1"/>
    <col min="8197" max="8197" width="20.85546875" bestFit="1" customWidth="1"/>
    <col min="8198" max="8198" width="22" bestFit="1" customWidth="1"/>
    <col min="8199" max="8199" width="21" bestFit="1" customWidth="1"/>
    <col min="8200" max="8201" width="22" bestFit="1" customWidth="1"/>
    <col min="8202" max="8203" width="11.28515625" bestFit="1" customWidth="1"/>
    <col min="8204" max="8205" width="14.5703125" bestFit="1" customWidth="1"/>
    <col min="8206" max="8206" width="24.7109375" bestFit="1" customWidth="1"/>
    <col min="8207" max="8207" width="23.7109375" bestFit="1" customWidth="1"/>
    <col min="8451" max="8451" width="21.7109375" bestFit="1" customWidth="1"/>
    <col min="8452" max="8452" width="29.140625" bestFit="1" customWidth="1"/>
    <col min="8453" max="8453" width="20.85546875" bestFit="1" customWidth="1"/>
    <col min="8454" max="8454" width="22" bestFit="1" customWidth="1"/>
    <col min="8455" max="8455" width="21" bestFit="1" customWidth="1"/>
    <col min="8456" max="8457" width="22" bestFit="1" customWidth="1"/>
    <col min="8458" max="8459" width="11.28515625" bestFit="1" customWidth="1"/>
    <col min="8460" max="8461" width="14.5703125" bestFit="1" customWidth="1"/>
    <col min="8462" max="8462" width="24.7109375" bestFit="1" customWidth="1"/>
    <col min="8463" max="8463" width="23.7109375" bestFit="1" customWidth="1"/>
    <col min="8707" max="8707" width="21.7109375" bestFit="1" customWidth="1"/>
    <col min="8708" max="8708" width="29.140625" bestFit="1" customWidth="1"/>
    <col min="8709" max="8709" width="20.85546875" bestFit="1" customWidth="1"/>
    <col min="8710" max="8710" width="22" bestFit="1" customWidth="1"/>
    <col min="8711" max="8711" width="21" bestFit="1" customWidth="1"/>
    <col min="8712" max="8713" width="22" bestFit="1" customWidth="1"/>
    <col min="8714" max="8715" width="11.28515625" bestFit="1" customWidth="1"/>
    <col min="8716" max="8717" width="14.5703125" bestFit="1" customWidth="1"/>
    <col min="8718" max="8718" width="24.7109375" bestFit="1" customWidth="1"/>
    <col min="8719" max="8719" width="23.7109375" bestFit="1" customWidth="1"/>
    <col min="8963" max="8963" width="21.7109375" bestFit="1" customWidth="1"/>
    <col min="8964" max="8964" width="29.140625" bestFit="1" customWidth="1"/>
    <col min="8965" max="8965" width="20.85546875" bestFit="1" customWidth="1"/>
    <col min="8966" max="8966" width="22" bestFit="1" customWidth="1"/>
    <col min="8967" max="8967" width="21" bestFit="1" customWidth="1"/>
    <col min="8968" max="8969" width="22" bestFit="1" customWidth="1"/>
    <col min="8970" max="8971" width="11.28515625" bestFit="1" customWidth="1"/>
    <col min="8972" max="8973" width="14.5703125" bestFit="1" customWidth="1"/>
    <col min="8974" max="8974" width="24.7109375" bestFit="1" customWidth="1"/>
    <col min="8975" max="8975" width="23.7109375" bestFit="1" customWidth="1"/>
    <col min="9219" max="9219" width="21.7109375" bestFit="1" customWidth="1"/>
    <col min="9220" max="9220" width="29.140625" bestFit="1" customWidth="1"/>
    <col min="9221" max="9221" width="20.85546875" bestFit="1" customWidth="1"/>
    <col min="9222" max="9222" width="22" bestFit="1" customWidth="1"/>
    <col min="9223" max="9223" width="21" bestFit="1" customWidth="1"/>
    <col min="9224" max="9225" width="22" bestFit="1" customWidth="1"/>
    <col min="9226" max="9227" width="11.28515625" bestFit="1" customWidth="1"/>
    <col min="9228" max="9229" width="14.5703125" bestFit="1" customWidth="1"/>
    <col min="9230" max="9230" width="24.7109375" bestFit="1" customWidth="1"/>
    <col min="9231" max="9231" width="23.7109375" bestFit="1" customWidth="1"/>
    <col min="9475" max="9475" width="21.7109375" bestFit="1" customWidth="1"/>
    <col min="9476" max="9476" width="29.140625" bestFit="1" customWidth="1"/>
    <col min="9477" max="9477" width="20.85546875" bestFit="1" customWidth="1"/>
    <col min="9478" max="9478" width="22" bestFit="1" customWidth="1"/>
    <col min="9479" max="9479" width="21" bestFit="1" customWidth="1"/>
    <col min="9480" max="9481" width="22" bestFit="1" customWidth="1"/>
    <col min="9482" max="9483" width="11.28515625" bestFit="1" customWidth="1"/>
    <col min="9484" max="9485" width="14.5703125" bestFit="1" customWidth="1"/>
    <col min="9486" max="9486" width="24.7109375" bestFit="1" customWidth="1"/>
    <col min="9487" max="9487" width="23.7109375" bestFit="1" customWidth="1"/>
    <col min="9731" max="9731" width="21.7109375" bestFit="1" customWidth="1"/>
    <col min="9732" max="9732" width="29.140625" bestFit="1" customWidth="1"/>
    <col min="9733" max="9733" width="20.85546875" bestFit="1" customWidth="1"/>
    <col min="9734" max="9734" width="22" bestFit="1" customWidth="1"/>
    <col min="9735" max="9735" width="21" bestFit="1" customWidth="1"/>
    <col min="9736" max="9737" width="22" bestFit="1" customWidth="1"/>
    <col min="9738" max="9739" width="11.28515625" bestFit="1" customWidth="1"/>
    <col min="9740" max="9741" width="14.5703125" bestFit="1" customWidth="1"/>
    <col min="9742" max="9742" width="24.7109375" bestFit="1" customWidth="1"/>
    <col min="9743" max="9743" width="23.7109375" bestFit="1" customWidth="1"/>
    <col min="9987" max="9987" width="21.7109375" bestFit="1" customWidth="1"/>
    <col min="9988" max="9988" width="29.140625" bestFit="1" customWidth="1"/>
    <col min="9989" max="9989" width="20.85546875" bestFit="1" customWidth="1"/>
    <col min="9990" max="9990" width="22" bestFit="1" customWidth="1"/>
    <col min="9991" max="9991" width="21" bestFit="1" customWidth="1"/>
    <col min="9992" max="9993" width="22" bestFit="1" customWidth="1"/>
    <col min="9994" max="9995" width="11.28515625" bestFit="1" customWidth="1"/>
    <col min="9996" max="9997" width="14.5703125" bestFit="1" customWidth="1"/>
    <col min="9998" max="9998" width="24.7109375" bestFit="1" customWidth="1"/>
    <col min="9999" max="9999" width="23.7109375" bestFit="1" customWidth="1"/>
    <col min="10243" max="10243" width="21.7109375" bestFit="1" customWidth="1"/>
    <col min="10244" max="10244" width="29.140625" bestFit="1" customWidth="1"/>
    <col min="10245" max="10245" width="20.85546875" bestFit="1" customWidth="1"/>
    <col min="10246" max="10246" width="22" bestFit="1" customWidth="1"/>
    <col min="10247" max="10247" width="21" bestFit="1" customWidth="1"/>
    <col min="10248" max="10249" width="22" bestFit="1" customWidth="1"/>
    <col min="10250" max="10251" width="11.28515625" bestFit="1" customWidth="1"/>
    <col min="10252" max="10253" width="14.5703125" bestFit="1" customWidth="1"/>
    <col min="10254" max="10254" width="24.7109375" bestFit="1" customWidth="1"/>
    <col min="10255" max="10255" width="23.7109375" bestFit="1" customWidth="1"/>
    <col min="10499" max="10499" width="21.7109375" bestFit="1" customWidth="1"/>
    <col min="10500" max="10500" width="29.140625" bestFit="1" customWidth="1"/>
    <col min="10501" max="10501" width="20.85546875" bestFit="1" customWidth="1"/>
    <col min="10502" max="10502" width="22" bestFit="1" customWidth="1"/>
    <col min="10503" max="10503" width="21" bestFit="1" customWidth="1"/>
    <col min="10504" max="10505" width="22" bestFit="1" customWidth="1"/>
    <col min="10506" max="10507" width="11.28515625" bestFit="1" customWidth="1"/>
    <col min="10508" max="10509" width="14.5703125" bestFit="1" customWidth="1"/>
    <col min="10510" max="10510" width="24.7109375" bestFit="1" customWidth="1"/>
    <col min="10511" max="10511" width="23.7109375" bestFit="1" customWidth="1"/>
    <col min="10755" max="10755" width="21.7109375" bestFit="1" customWidth="1"/>
    <col min="10756" max="10756" width="29.140625" bestFit="1" customWidth="1"/>
    <col min="10757" max="10757" width="20.85546875" bestFit="1" customWidth="1"/>
    <col min="10758" max="10758" width="22" bestFit="1" customWidth="1"/>
    <col min="10759" max="10759" width="21" bestFit="1" customWidth="1"/>
    <col min="10760" max="10761" width="22" bestFit="1" customWidth="1"/>
    <col min="10762" max="10763" width="11.28515625" bestFit="1" customWidth="1"/>
    <col min="10764" max="10765" width="14.5703125" bestFit="1" customWidth="1"/>
    <col min="10766" max="10766" width="24.7109375" bestFit="1" customWidth="1"/>
    <col min="10767" max="10767" width="23.7109375" bestFit="1" customWidth="1"/>
    <col min="11011" max="11011" width="21.7109375" bestFit="1" customWidth="1"/>
    <col min="11012" max="11012" width="29.140625" bestFit="1" customWidth="1"/>
    <col min="11013" max="11013" width="20.85546875" bestFit="1" customWidth="1"/>
    <col min="11014" max="11014" width="22" bestFit="1" customWidth="1"/>
    <col min="11015" max="11015" width="21" bestFit="1" customWidth="1"/>
    <col min="11016" max="11017" width="22" bestFit="1" customWidth="1"/>
    <col min="11018" max="11019" width="11.28515625" bestFit="1" customWidth="1"/>
    <col min="11020" max="11021" width="14.5703125" bestFit="1" customWidth="1"/>
    <col min="11022" max="11022" width="24.7109375" bestFit="1" customWidth="1"/>
    <col min="11023" max="11023" width="23.7109375" bestFit="1" customWidth="1"/>
    <col min="11267" max="11267" width="21.7109375" bestFit="1" customWidth="1"/>
    <col min="11268" max="11268" width="29.140625" bestFit="1" customWidth="1"/>
    <col min="11269" max="11269" width="20.85546875" bestFit="1" customWidth="1"/>
    <col min="11270" max="11270" width="22" bestFit="1" customWidth="1"/>
    <col min="11271" max="11271" width="21" bestFit="1" customWidth="1"/>
    <col min="11272" max="11273" width="22" bestFit="1" customWidth="1"/>
    <col min="11274" max="11275" width="11.28515625" bestFit="1" customWidth="1"/>
    <col min="11276" max="11277" width="14.5703125" bestFit="1" customWidth="1"/>
    <col min="11278" max="11278" width="24.7109375" bestFit="1" customWidth="1"/>
    <col min="11279" max="11279" width="23.7109375" bestFit="1" customWidth="1"/>
    <col min="11523" max="11523" width="21.7109375" bestFit="1" customWidth="1"/>
    <col min="11524" max="11524" width="29.140625" bestFit="1" customWidth="1"/>
    <col min="11525" max="11525" width="20.85546875" bestFit="1" customWidth="1"/>
    <col min="11526" max="11526" width="22" bestFit="1" customWidth="1"/>
    <col min="11527" max="11527" width="21" bestFit="1" customWidth="1"/>
    <col min="11528" max="11529" width="22" bestFit="1" customWidth="1"/>
    <col min="11530" max="11531" width="11.28515625" bestFit="1" customWidth="1"/>
    <col min="11532" max="11533" width="14.5703125" bestFit="1" customWidth="1"/>
    <col min="11534" max="11534" width="24.7109375" bestFit="1" customWidth="1"/>
    <col min="11535" max="11535" width="23.7109375" bestFit="1" customWidth="1"/>
    <col min="11779" max="11779" width="21.7109375" bestFit="1" customWidth="1"/>
    <col min="11780" max="11780" width="29.140625" bestFit="1" customWidth="1"/>
    <col min="11781" max="11781" width="20.85546875" bestFit="1" customWidth="1"/>
    <col min="11782" max="11782" width="22" bestFit="1" customWidth="1"/>
    <col min="11783" max="11783" width="21" bestFit="1" customWidth="1"/>
    <col min="11784" max="11785" width="22" bestFit="1" customWidth="1"/>
    <col min="11786" max="11787" width="11.28515625" bestFit="1" customWidth="1"/>
    <col min="11788" max="11789" width="14.5703125" bestFit="1" customWidth="1"/>
    <col min="11790" max="11790" width="24.7109375" bestFit="1" customWidth="1"/>
    <col min="11791" max="11791" width="23.7109375" bestFit="1" customWidth="1"/>
    <col min="12035" max="12035" width="21.7109375" bestFit="1" customWidth="1"/>
    <col min="12036" max="12036" width="29.140625" bestFit="1" customWidth="1"/>
    <col min="12037" max="12037" width="20.85546875" bestFit="1" customWidth="1"/>
    <col min="12038" max="12038" width="22" bestFit="1" customWidth="1"/>
    <col min="12039" max="12039" width="21" bestFit="1" customWidth="1"/>
    <col min="12040" max="12041" width="22" bestFit="1" customWidth="1"/>
    <col min="12042" max="12043" width="11.28515625" bestFit="1" customWidth="1"/>
    <col min="12044" max="12045" width="14.5703125" bestFit="1" customWidth="1"/>
    <col min="12046" max="12046" width="24.7109375" bestFit="1" customWidth="1"/>
    <col min="12047" max="12047" width="23.7109375" bestFit="1" customWidth="1"/>
    <col min="12291" max="12291" width="21.7109375" bestFit="1" customWidth="1"/>
    <col min="12292" max="12292" width="29.140625" bestFit="1" customWidth="1"/>
    <col min="12293" max="12293" width="20.85546875" bestFit="1" customWidth="1"/>
    <col min="12294" max="12294" width="22" bestFit="1" customWidth="1"/>
    <col min="12295" max="12295" width="21" bestFit="1" customWidth="1"/>
    <col min="12296" max="12297" width="22" bestFit="1" customWidth="1"/>
    <col min="12298" max="12299" width="11.28515625" bestFit="1" customWidth="1"/>
    <col min="12300" max="12301" width="14.5703125" bestFit="1" customWidth="1"/>
    <col min="12302" max="12302" width="24.7109375" bestFit="1" customWidth="1"/>
    <col min="12303" max="12303" width="23.7109375" bestFit="1" customWidth="1"/>
    <col min="12547" max="12547" width="21.7109375" bestFit="1" customWidth="1"/>
    <col min="12548" max="12548" width="29.140625" bestFit="1" customWidth="1"/>
    <col min="12549" max="12549" width="20.85546875" bestFit="1" customWidth="1"/>
    <col min="12550" max="12550" width="22" bestFit="1" customWidth="1"/>
    <col min="12551" max="12551" width="21" bestFit="1" customWidth="1"/>
    <col min="12552" max="12553" width="22" bestFit="1" customWidth="1"/>
    <col min="12554" max="12555" width="11.28515625" bestFit="1" customWidth="1"/>
    <col min="12556" max="12557" width="14.5703125" bestFit="1" customWidth="1"/>
    <col min="12558" max="12558" width="24.7109375" bestFit="1" customWidth="1"/>
    <col min="12559" max="12559" width="23.7109375" bestFit="1" customWidth="1"/>
    <col min="12803" max="12803" width="21.7109375" bestFit="1" customWidth="1"/>
    <col min="12804" max="12804" width="29.140625" bestFit="1" customWidth="1"/>
    <col min="12805" max="12805" width="20.85546875" bestFit="1" customWidth="1"/>
    <col min="12806" max="12806" width="22" bestFit="1" customWidth="1"/>
    <col min="12807" max="12807" width="21" bestFit="1" customWidth="1"/>
    <col min="12808" max="12809" width="22" bestFit="1" customWidth="1"/>
    <col min="12810" max="12811" width="11.28515625" bestFit="1" customWidth="1"/>
    <col min="12812" max="12813" width="14.5703125" bestFit="1" customWidth="1"/>
    <col min="12814" max="12814" width="24.7109375" bestFit="1" customWidth="1"/>
    <col min="12815" max="12815" width="23.7109375" bestFit="1" customWidth="1"/>
    <col min="13059" max="13059" width="21.7109375" bestFit="1" customWidth="1"/>
    <col min="13060" max="13060" width="29.140625" bestFit="1" customWidth="1"/>
    <col min="13061" max="13061" width="20.85546875" bestFit="1" customWidth="1"/>
    <col min="13062" max="13062" width="22" bestFit="1" customWidth="1"/>
    <col min="13063" max="13063" width="21" bestFit="1" customWidth="1"/>
    <col min="13064" max="13065" width="22" bestFit="1" customWidth="1"/>
    <col min="13066" max="13067" width="11.28515625" bestFit="1" customWidth="1"/>
    <col min="13068" max="13069" width="14.5703125" bestFit="1" customWidth="1"/>
    <col min="13070" max="13070" width="24.7109375" bestFit="1" customWidth="1"/>
    <col min="13071" max="13071" width="23.7109375" bestFit="1" customWidth="1"/>
    <col min="13315" max="13315" width="21.7109375" bestFit="1" customWidth="1"/>
    <col min="13316" max="13316" width="29.140625" bestFit="1" customWidth="1"/>
    <col min="13317" max="13317" width="20.85546875" bestFit="1" customWidth="1"/>
    <col min="13318" max="13318" width="22" bestFit="1" customWidth="1"/>
    <col min="13319" max="13319" width="21" bestFit="1" customWidth="1"/>
    <col min="13320" max="13321" width="22" bestFit="1" customWidth="1"/>
    <col min="13322" max="13323" width="11.28515625" bestFit="1" customWidth="1"/>
    <col min="13324" max="13325" width="14.5703125" bestFit="1" customWidth="1"/>
    <col min="13326" max="13326" width="24.7109375" bestFit="1" customWidth="1"/>
    <col min="13327" max="13327" width="23.7109375" bestFit="1" customWidth="1"/>
    <col min="13571" max="13571" width="21.7109375" bestFit="1" customWidth="1"/>
    <col min="13572" max="13572" width="29.140625" bestFit="1" customWidth="1"/>
    <col min="13573" max="13573" width="20.85546875" bestFit="1" customWidth="1"/>
    <col min="13574" max="13574" width="22" bestFit="1" customWidth="1"/>
    <col min="13575" max="13575" width="21" bestFit="1" customWidth="1"/>
    <col min="13576" max="13577" width="22" bestFit="1" customWidth="1"/>
    <col min="13578" max="13579" width="11.28515625" bestFit="1" customWidth="1"/>
    <col min="13580" max="13581" width="14.5703125" bestFit="1" customWidth="1"/>
    <col min="13582" max="13582" width="24.7109375" bestFit="1" customWidth="1"/>
    <col min="13583" max="13583" width="23.7109375" bestFit="1" customWidth="1"/>
    <col min="13827" max="13827" width="21.7109375" bestFit="1" customWidth="1"/>
    <col min="13828" max="13828" width="29.140625" bestFit="1" customWidth="1"/>
    <col min="13829" max="13829" width="20.85546875" bestFit="1" customWidth="1"/>
    <col min="13830" max="13830" width="22" bestFit="1" customWidth="1"/>
    <col min="13831" max="13831" width="21" bestFit="1" customWidth="1"/>
    <col min="13832" max="13833" width="22" bestFit="1" customWidth="1"/>
    <col min="13834" max="13835" width="11.28515625" bestFit="1" customWidth="1"/>
    <col min="13836" max="13837" width="14.5703125" bestFit="1" customWidth="1"/>
    <col min="13838" max="13838" width="24.7109375" bestFit="1" customWidth="1"/>
    <col min="13839" max="13839" width="23.7109375" bestFit="1" customWidth="1"/>
    <col min="14083" max="14083" width="21.7109375" bestFit="1" customWidth="1"/>
    <col min="14084" max="14084" width="29.140625" bestFit="1" customWidth="1"/>
    <col min="14085" max="14085" width="20.85546875" bestFit="1" customWidth="1"/>
    <col min="14086" max="14086" width="22" bestFit="1" customWidth="1"/>
    <col min="14087" max="14087" width="21" bestFit="1" customWidth="1"/>
    <col min="14088" max="14089" width="22" bestFit="1" customWidth="1"/>
    <col min="14090" max="14091" width="11.28515625" bestFit="1" customWidth="1"/>
    <col min="14092" max="14093" width="14.5703125" bestFit="1" customWidth="1"/>
    <col min="14094" max="14094" width="24.7109375" bestFit="1" customWidth="1"/>
    <col min="14095" max="14095" width="23.7109375" bestFit="1" customWidth="1"/>
    <col min="14339" max="14339" width="21.7109375" bestFit="1" customWidth="1"/>
    <col min="14340" max="14340" width="29.140625" bestFit="1" customWidth="1"/>
    <col min="14341" max="14341" width="20.85546875" bestFit="1" customWidth="1"/>
    <col min="14342" max="14342" width="22" bestFit="1" customWidth="1"/>
    <col min="14343" max="14343" width="21" bestFit="1" customWidth="1"/>
    <col min="14344" max="14345" width="22" bestFit="1" customWidth="1"/>
    <col min="14346" max="14347" width="11.28515625" bestFit="1" customWidth="1"/>
    <col min="14348" max="14349" width="14.5703125" bestFit="1" customWidth="1"/>
    <col min="14350" max="14350" width="24.7109375" bestFit="1" customWidth="1"/>
    <col min="14351" max="14351" width="23.7109375" bestFit="1" customWidth="1"/>
    <col min="14595" max="14595" width="21.7109375" bestFit="1" customWidth="1"/>
    <col min="14596" max="14596" width="29.140625" bestFit="1" customWidth="1"/>
    <col min="14597" max="14597" width="20.85546875" bestFit="1" customWidth="1"/>
    <col min="14598" max="14598" width="22" bestFit="1" customWidth="1"/>
    <col min="14599" max="14599" width="21" bestFit="1" customWidth="1"/>
    <col min="14600" max="14601" width="22" bestFit="1" customWidth="1"/>
    <col min="14602" max="14603" width="11.28515625" bestFit="1" customWidth="1"/>
    <col min="14604" max="14605" width="14.5703125" bestFit="1" customWidth="1"/>
    <col min="14606" max="14606" width="24.7109375" bestFit="1" customWidth="1"/>
    <col min="14607" max="14607" width="23.7109375" bestFit="1" customWidth="1"/>
    <col min="14851" max="14851" width="21.7109375" bestFit="1" customWidth="1"/>
    <col min="14852" max="14852" width="29.140625" bestFit="1" customWidth="1"/>
    <col min="14853" max="14853" width="20.85546875" bestFit="1" customWidth="1"/>
    <col min="14854" max="14854" width="22" bestFit="1" customWidth="1"/>
    <col min="14855" max="14855" width="21" bestFit="1" customWidth="1"/>
    <col min="14856" max="14857" width="22" bestFit="1" customWidth="1"/>
    <col min="14858" max="14859" width="11.28515625" bestFit="1" customWidth="1"/>
    <col min="14860" max="14861" width="14.5703125" bestFit="1" customWidth="1"/>
    <col min="14862" max="14862" width="24.7109375" bestFit="1" customWidth="1"/>
    <col min="14863" max="14863" width="23.7109375" bestFit="1" customWidth="1"/>
    <col min="15107" max="15107" width="21.7109375" bestFit="1" customWidth="1"/>
    <col min="15108" max="15108" width="29.140625" bestFit="1" customWidth="1"/>
    <col min="15109" max="15109" width="20.85546875" bestFit="1" customWidth="1"/>
    <col min="15110" max="15110" width="22" bestFit="1" customWidth="1"/>
    <col min="15111" max="15111" width="21" bestFit="1" customWidth="1"/>
    <col min="15112" max="15113" width="22" bestFit="1" customWidth="1"/>
    <col min="15114" max="15115" width="11.28515625" bestFit="1" customWidth="1"/>
    <col min="15116" max="15117" width="14.5703125" bestFit="1" customWidth="1"/>
    <col min="15118" max="15118" width="24.7109375" bestFit="1" customWidth="1"/>
    <col min="15119" max="15119" width="23.7109375" bestFit="1" customWidth="1"/>
    <col min="15363" max="15363" width="21.7109375" bestFit="1" customWidth="1"/>
    <col min="15364" max="15364" width="29.140625" bestFit="1" customWidth="1"/>
    <col min="15365" max="15365" width="20.85546875" bestFit="1" customWidth="1"/>
    <col min="15366" max="15366" width="22" bestFit="1" customWidth="1"/>
    <col min="15367" max="15367" width="21" bestFit="1" customWidth="1"/>
    <col min="15368" max="15369" width="22" bestFit="1" customWidth="1"/>
    <col min="15370" max="15371" width="11.28515625" bestFit="1" customWidth="1"/>
    <col min="15372" max="15373" width="14.5703125" bestFit="1" customWidth="1"/>
    <col min="15374" max="15374" width="24.7109375" bestFit="1" customWidth="1"/>
    <col min="15375" max="15375" width="23.7109375" bestFit="1" customWidth="1"/>
    <col min="15619" max="15619" width="21.7109375" bestFit="1" customWidth="1"/>
    <col min="15620" max="15620" width="29.140625" bestFit="1" customWidth="1"/>
    <col min="15621" max="15621" width="20.85546875" bestFit="1" customWidth="1"/>
    <col min="15622" max="15622" width="22" bestFit="1" customWidth="1"/>
    <col min="15623" max="15623" width="21" bestFit="1" customWidth="1"/>
    <col min="15624" max="15625" width="22" bestFit="1" customWidth="1"/>
    <col min="15626" max="15627" width="11.28515625" bestFit="1" customWidth="1"/>
    <col min="15628" max="15629" width="14.5703125" bestFit="1" customWidth="1"/>
    <col min="15630" max="15630" width="24.7109375" bestFit="1" customWidth="1"/>
    <col min="15631" max="15631" width="23.7109375" bestFit="1" customWidth="1"/>
    <col min="15875" max="15875" width="21.7109375" bestFit="1" customWidth="1"/>
    <col min="15876" max="15876" width="29.140625" bestFit="1" customWidth="1"/>
    <col min="15877" max="15877" width="20.85546875" bestFit="1" customWidth="1"/>
    <col min="15878" max="15878" width="22" bestFit="1" customWidth="1"/>
    <col min="15879" max="15879" width="21" bestFit="1" customWidth="1"/>
    <col min="15880" max="15881" width="22" bestFit="1" customWidth="1"/>
    <col min="15882" max="15883" width="11.28515625" bestFit="1" customWidth="1"/>
    <col min="15884" max="15885" width="14.5703125" bestFit="1" customWidth="1"/>
    <col min="15886" max="15886" width="24.7109375" bestFit="1" customWidth="1"/>
    <col min="15887" max="15887" width="23.7109375" bestFit="1" customWidth="1"/>
    <col min="16131" max="16131" width="21.7109375" bestFit="1" customWidth="1"/>
    <col min="16132" max="16132" width="29.140625" bestFit="1" customWidth="1"/>
    <col min="16133" max="16133" width="20.85546875" bestFit="1" customWidth="1"/>
    <col min="16134" max="16134" width="22" bestFit="1" customWidth="1"/>
    <col min="16135" max="16135" width="21" bestFit="1" customWidth="1"/>
    <col min="16136" max="16137" width="22" bestFit="1" customWidth="1"/>
    <col min="16138" max="16139" width="11.28515625" bestFit="1" customWidth="1"/>
    <col min="16140" max="16141" width="14.5703125" bestFit="1" customWidth="1"/>
    <col min="16142" max="16142" width="24.7109375" bestFit="1" customWidth="1"/>
    <col min="16143" max="16143" width="23.7109375" bestFit="1" customWidth="1"/>
  </cols>
  <sheetData>
    <row r="1" spans="1:15" x14ac:dyDescent="0.25">
      <c r="C1" s="762"/>
      <c r="D1" s="1254" t="s">
        <v>406</v>
      </c>
      <c r="E1" s="1255"/>
      <c r="F1" s="817"/>
      <c r="G1" s="1256" t="s">
        <v>407</v>
      </c>
      <c r="H1" s="1257"/>
      <c r="I1" s="1258"/>
      <c r="J1" s="763"/>
      <c r="K1" s="764"/>
      <c r="L1" s="764"/>
      <c r="M1" s="765"/>
    </row>
    <row r="2" spans="1:15" ht="15.75" thickBot="1" x14ac:dyDescent="0.3">
      <c r="B2" s="637" t="s">
        <v>406</v>
      </c>
      <c r="C2" s="82"/>
      <c r="D2" s="82" t="s">
        <v>408</v>
      </c>
      <c r="E2" s="811" t="s">
        <v>409</v>
      </c>
      <c r="F2" s="811" t="s">
        <v>410</v>
      </c>
      <c r="G2" s="82" t="s">
        <v>408</v>
      </c>
      <c r="H2" s="811" t="s">
        <v>409</v>
      </c>
      <c r="I2" s="811" t="s">
        <v>410</v>
      </c>
      <c r="J2" s="687" t="s">
        <v>411</v>
      </c>
      <c r="K2" s="637" t="s">
        <v>412</v>
      </c>
      <c r="L2" s="637" t="s">
        <v>413</v>
      </c>
      <c r="M2" s="637" t="s">
        <v>414</v>
      </c>
      <c r="N2" s="687" t="s">
        <v>415</v>
      </c>
      <c r="O2" s="687" t="s">
        <v>416</v>
      </c>
    </row>
    <row r="3" spans="1:15" x14ac:dyDescent="0.25">
      <c r="A3" s="812" t="s">
        <v>417</v>
      </c>
      <c r="B3" s="766" t="s">
        <v>418</v>
      </c>
      <c r="C3" s="767" t="s">
        <v>419</v>
      </c>
      <c r="D3" s="768">
        <v>33</v>
      </c>
      <c r="E3" s="768">
        <v>0.14000000000000001</v>
      </c>
      <c r="F3" s="768">
        <v>0</v>
      </c>
      <c r="G3" s="768">
        <v>72</v>
      </c>
      <c r="H3" s="769">
        <v>0.4</v>
      </c>
      <c r="I3" s="769">
        <v>0</v>
      </c>
      <c r="J3" s="769">
        <v>11.3</v>
      </c>
      <c r="K3" s="770">
        <v>0</v>
      </c>
      <c r="L3" s="769">
        <v>3</v>
      </c>
      <c r="M3" s="770">
        <v>0</v>
      </c>
      <c r="N3" s="770">
        <v>17</v>
      </c>
      <c r="O3" s="771">
        <v>4</v>
      </c>
    </row>
    <row r="4" spans="1:15" ht="15.75" thickBot="1" x14ac:dyDescent="0.3">
      <c r="A4" s="815" t="s">
        <v>420</v>
      </c>
      <c r="B4" s="772" t="s">
        <v>421</v>
      </c>
      <c r="C4" s="138" t="s">
        <v>422</v>
      </c>
      <c r="D4" s="773">
        <v>30</v>
      </c>
      <c r="E4" s="773">
        <v>0.14000000000000001</v>
      </c>
      <c r="F4" s="773">
        <v>0</v>
      </c>
      <c r="G4" s="773">
        <v>64</v>
      </c>
      <c r="H4" s="774">
        <v>0.4</v>
      </c>
      <c r="I4" s="774">
        <v>0</v>
      </c>
      <c r="J4" s="775">
        <v>11.3</v>
      </c>
      <c r="K4" s="776">
        <v>0</v>
      </c>
      <c r="L4" s="775">
        <v>3</v>
      </c>
      <c r="M4" s="776">
        <v>0</v>
      </c>
      <c r="N4" s="777">
        <v>17</v>
      </c>
      <c r="O4" s="816">
        <v>4</v>
      </c>
    </row>
    <row r="5" spans="1:15" x14ac:dyDescent="0.25">
      <c r="A5" s="812" t="s">
        <v>423</v>
      </c>
      <c r="B5" s="766" t="s">
        <v>267</v>
      </c>
      <c r="C5" s="767" t="s">
        <v>424</v>
      </c>
      <c r="D5" s="778">
        <v>39</v>
      </c>
      <c r="E5" s="768">
        <v>0.1</v>
      </c>
      <c r="F5" s="768">
        <f>VLOOKUP(D5,A17:D21,3,FALSE)</f>
        <v>0.14000000000000001</v>
      </c>
      <c r="G5" s="768">
        <v>74</v>
      </c>
      <c r="H5" s="769">
        <v>0.46</v>
      </c>
      <c r="I5" s="769">
        <v>0</v>
      </c>
      <c r="J5" s="769">
        <v>11.3</v>
      </c>
      <c r="K5" s="769">
        <v>5.4</v>
      </c>
      <c r="L5" s="769">
        <v>3</v>
      </c>
      <c r="M5" s="769">
        <v>1.4</v>
      </c>
      <c r="N5" s="769">
        <v>34</v>
      </c>
      <c r="O5" s="779">
        <v>4</v>
      </c>
    </row>
    <row r="6" spans="1:15" x14ac:dyDescent="0.25">
      <c r="A6" s="813" t="s">
        <v>425</v>
      </c>
      <c r="B6" s="311" t="s">
        <v>426</v>
      </c>
      <c r="C6" s="1" t="s">
        <v>427</v>
      </c>
      <c r="D6" s="76">
        <v>39</v>
      </c>
      <c r="E6" s="76">
        <v>0.1</v>
      </c>
      <c r="F6" s="818">
        <v>0.17</v>
      </c>
      <c r="G6" s="76">
        <v>71</v>
      </c>
      <c r="H6" s="780">
        <v>0.46</v>
      </c>
      <c r="I6" s="780">
        <v>0</v>
      </c>
      <c r="J6" s="781">
        <v>11.3</v>
      </c>
      <c r="K6" s="781">
        <v>5.4</v>
      </c>
      <c r="L6" s="781">
        <v>3</v>
      </c>
      <c r="M6" s="780">
        <v>1.4</v>
      </c>
      <c r="N6" s="780">
        <v>34</v>
      </c>
      <c r="O6" s="782">
        <v>4</v>
      </c>
    </row>
    <row r="7" spans="1:15" ht="15.75" thickBot="1" x14ac:dyDescent="0.3">
      <c r="A7" s="783" t="s">
        <v>428</v>
      </c>
      <c r="B7" s="784" t="s">
        <v>429</v>
      </c>
      <c r="C7" s="785" t="s">
        <v>430</v>
      </c>
      <c r="D7" s="786">
        <v>52</v>
      </c>
      <c r="E7" s="786">
        <v>0.23</v>
      </c>
      <c r="F7" s="819">
        <v>0.17</v>
      </c>
      <c r="G7" s="786">
        <v>101</v>
      </c>
      <c r="H7" s="787">
        <v>0.66</v>
      </c>
      <c r="I7" s="787">
        <v>0</v>
      </c>
      <c r="J7" s="787">
        <v>11.3</v>
      </c>
      <c r="K7" s="787">
        <v>5.4</v>
      </c>
      <c r="L7" s="787">
        <v>3</v>
      </c>
      <c r="M7" s="787">
        <v>1.4</v>
      </c>
      <c r="N7" s="787">
        <v>34</v>
      </c>
      <c r="O7" s="788">
        <v>4</v>
      </c>
    </row>
    <row r="8" spans="1:15" x14ac:dyDescent="0.25">
      <c r="A8" s="789" t="s">
        <v>431</v>
      </c>
      <c r="B8" s="790" t="s">
        <v>432</v>
      </c>
      <c r="C8" s="294" t="s">
        <v>419</v>
      </c>
      <c r="D8" s="422">
        <v>39</v>
      </c>
      <c r="E8" s="422">
        <v>0.2</v>
      </c>
      <c r="F8" s="422">
        <v>0</v>
      </c>
      <c r="G8" s="422">
        <v>92</v>
      </c>
      <c r="H8" s="422">
        <v>0.65</v>
      </c>
      <c r="I8" s="422">
        <v>0</v>
      </c>
      <c r="J8" s="422">
        <v>11.3</v>
      </c>
      <c r="K8" s="422">
        <v>5.4</v>
      </c>
      <c r="L8" s="422">
        <v>3</v>
      </c>
      <c r="M8" s="422">
        <v>1.4</v>
      </c>
      <c r="N8" s="422">
        <v>28</v>
      </c>
      <c r="O8" s="791">
        <v>4</v>
      </c>
    </row>
    <row r="9" spans="1:15" ht="15.75" thickBot="1" x14ac:dyDescent="0.3">
      <c r="A9" s="783" t="s">
        <v>433</v>
      </c>
      <c r="B9" s="784" t="s">
        <v>434</v>
      </c>
      <c r="C9" s="785" t="s">
        <v>435</v>
      </c>
      <c r="D9" s="786">
        <v>37</v>
      </c>
      <c r="E9" s="786">
        <v>0.2</v>
      </c>
      <c r="F9" s="786">
        <v>0</v>
      </c>
      <c r="G9" s="786">
        <v>92</v>
      </c>
      <c r="H9" s="786">
        <v>0.65</v>
      </c>
      <c r="I9" s="786">
        <v>0</v>
      </c>
      <c r="J9" s="786">
        <v>11.3</v>
      </c>
      <c r="K9" s="786">
        <v>5.4</v>
      </c>
      <c r="L9" s="786">
        <v>3</v>
      </c>
      <c r="M9" s="786">
        <v>1.4</v>
      </c>
      <c r="N9" s="786">
        <v>28</v>
      </c>
      <c r="O9" s="792">
        <v>4</v>
      </c>
    </row>
    <row r="11" spans="1:15" ht="15" customHeight="1" x14ac:dyDescent="0.25"/>
    <row r="15" spans="1:15" ht="15" customHeight="1" x14ac:dyDescent="0.25">
      <c r="A15" s="1259" t="s">
        <v>441</v>
      </c>
      <c r="B15" s="1259" t="s">
        <v>442</v>
      </c>
      <c r="C15" s="922" t="s">
        <v>443</v>
      </c>
      <c r="D15" s="1259" t="s">
        <v>444</v>
      </c>
    </row>
    <row r="16" spans="1:15" x14ac:dyDescent="0.25">
      <c r="A16" s="1259"/>
      <c r="B16" s="1259"/>
      <c r="C16" s="922"/>
      <c r="D16" s="1259"/>
    </row>
    <row r="17" spans="1:4" ht="15" customHeight="1" x14ac:dyDescent="0.25">
      <c r="A17" s="820">
        <v>39</v>
      </c>
      <c r="B17" s="821">
        <v>75</v>
      </c>
      <c r="C17" s="821">
        <v>0.14000000000000001</v>
      </c>
      <c r="D17" s="814">
        <v>2</v>
      </c>
    </row>
    <row r="18" spans="1:4" x14ac:dyDescent="0.25">
      <c r="A18" s="820">
        <v>41</v>
      </c>
      <c r="B18" s="821">
        <v>100</v>
      </c>
      <c r="C18" s="821">
        <v>0.18</v>
      </c>
      <c r="D18" s="814">
        <v>3</v>
      </c>
    </row>
    <row r="19" spans="1:4" x14ac:dyDescent="0.25">
      <c r="A19" s="822">
        <v>43</v>
      </c>
      <c r="B19" s="821">
        <v>125</v>
      </c>
      <c r="C19" s="821">
        <v>0.22</v>
      </c>
      <c r="D19" s="814">
        <v>4</v>
      </c>
    </row>
    <row r="20" spans="1:4" x14ac:dyDescent="0.25">
      <c r="A20" s="822">
        <v>47</v>
      </c>
      <c r="B20" s="821">
        <v>150</v>
      </c>
      <c r="C20" s="821">
        <v>0.26</v>
      </c>
      <c r="D20" s="814">
        <v>5</v>
      </c>
    </row>
    <row r="21" spans="1:4" x14ac:dyDescent="0.25">
      <c r="A21" s="822">
        <v>49</v>
      </c>
      <c r="B21" s="821">
        <v>175</v>
      </c>
      <c r="C21" s="821">
        <v>0.3</v>
      </c>
      <c r="D21" s="814">
        <v>6</v>
      </c>
    </row>
    <row r="23" spans="1:4" x14ac:dyDescent="0.25">
      <c r="A23" s="1259" t="s">
        <v>445</v>
      </c>
      <c r="B23" s="1259" t="s">
        <v>442</v>
      </c>
      <c r="C23" s="922" t="s">
        <v>443</v>
      </c>
      <c r="D23" s="1259" t="s">
        <v>446</v>
      </c>
    </row>
    <row r="24" spans="1:4" x14ac:dyDescent="0.25">
      <c r="A24" s="1259"/>
      <c r="B24" s="1259"/>
      <c r="C24" s="922"/>
      <c r="D24" s="1259"/>
    </row>
    <row r="25" spans="1:4" x14ac:dyDescent="0.25">
      <c r="A25" s="820"/>
      <c r="B25" s="821">
        <v>75</v>
      </c>
      <c r="C25" s="821">
        <v>0.17</v>
      </c>
      <c r="D25" s="814">
        <v>0.12</v>
      </c>
    </row>
    <row r="26" spans="1:4" x14ac:dyDescent="0.25">
      <c r="A26" s="820"/>
      <c r="B26" s="821">
        <v>100</v>
      </c>
      <c r="C26" s="821">
        <v>0.19</v>
      </c>
      <c r="D26" s="814">
        <v>0.17</v>
      </c>
    </row>
    <row r="27" spans="1:4" x14ac:dyDescent="0.25">
      <c r="A27" s="822"/>
      <c r="B27" s="821">
        <v>125</v>
      </c>
      <c r="C27" s="821">
        <v>0.2</v>
      </c>
      <c r="D27" s="814">
        <v>0.23</v>
      </c>
    </row>
    <row r="28" spans="1:4" x14ac:dyDescent="0.25">
      <c r="A28" s="822"/>
      <c r="B28" s="821">
        <v>150</v>
      </c>
      <c r="C28" s="821">
        <v>0.22</v>
      </c>
      <c r="D28" s="814">
        <v>0.28999999999999998</v>
      </c>
    </row>
    <row r="29" spans="1:4" x14ac:dyDescent="0.25">
      <c r="A29" s="822"/>
      <c r="B29" s="821">
        <v>175</v>
      </c>
      <c r="C29" s="821">
        <v>0.23</v>
      </c>
      <c r="D29" s="814">
        <v>0.35</v>
      </c>
    </row>
    <row r="31" spans="1:4" x14ac:dyDescent="0.25">
      <c r="A31" s="1259" t="s">
        <v>447</v>
      </c>
      <c r="B31" s="1259" t="s">
        <v>442</v>
      </c>
      <c r="C31" s="922" t="s">
        <v>443</v>
      </c>
      <c r="D31" s="1259" t="s">
        <v>446</v>
      </c>
    </row>
    <row r="32" spans="1:4" x14ac:dyDescent="0.25">
      <c r="A32" s="1259"/>
      <c r="B32" s="1259"/>
      <c r="C32" s="922"/>
      <c r="D32" s="1259"/>
    </row>
    <row r="33" spans="1:4" x14ac:dyDescent="0.25">
      <c r="A33" s="820"/>
      <c r="B33" s="821">
        <v>75</v>
      </c>
      <c r="C33" s="821">
        <v>0.17</v>
      </c>
      <c r="D33" s="814">
        <v>0.12</v>
      </c>
    </row>
    <row r="34" spans="1:4" x14ac:dyDescent="0.25">
      <c r="A34" s="820"/>
      <c r="B34" s="821">
        <v>100</v>
      </c>
      <c r="C34" s="821">
        <v>0.19</v>
      </c>
      <c r="D34" s="814">
        <v>0.17</v>
      </c>
    </row>
    <row r="35" spans="1:4" x14ac:dyDescent="0.25">
      <c r="A35" s="822"/>
      <c r="B35" s="821">
        <v>125</v>
      </c>
      <c r="C35" s="821">
        <v>0.2</v>
      </c>
      <c r="D35" s="814">
        <v>0.23</v>
      </c>
    </row>
    <row r="36" spans="1:4" x14ac:dyDescent="0.25">
      <c r="A36" s="822"/>
      <c r="B36" s="821">
        <v>150</v>
      </c>
      <c r="C36" s="821">
        <v>0.22</v>
      </c>
      <c r="D36" s="814">
        <v>0.28999999999999998</v>
      </c>
    </row>
    <row r="37" spans="1:4" x14ac:dyDescent="0.25">
      <c r="A37" s="822"/>
      <c r="B37" s="821">
        <v>175</v>
      </c>
      <c r="C37" s="821">
        <v>0.23</v>
      </c>
      <c r="D37" s="814">
        <v>0.35</v>
      </c>
    </row>
  </sheetData>
  <mergeCells count="14">
    <mergeCell ref="A23:A24"/>
    <mergeCell ref="B23:B24"/>
    <mergeCell ref="C23:C24"/>
    <mergeCell ref="D23:D24"/>
    <mergeCell ref="A31:A32"/>
    <mergeCell ref="B31:B32"/>
    <mergeCell ref="C31:C32"/>
    <mergeCell ref="D31:D32"/>
    <mergeCell ref="D1:E1"/>
    <mergeCell ref="G1:I1"/>
    <mergeCell ref="A15:A16"/>
    <mergeCell ref="B15:B16"/>
    <mergeCell ref="C15:C16"/>
    <mergeCell ref="D15:D16"/>
  </mergeCells>
  <dataValidations count="3">
    <dataValidation type="list" allowBlank="1" showInputMessage="1" showErrorMessage="1" sqref="F7">
      <formula1>$C$33:$C$37</formula1>
    </dataValidation>
    <dataValidation type="list" allowBlank="1" showInputMessage="1" showErrorMessage="1" sqref="F6">
      <formula1>$C$25:$C$29</formula1>
    </dataValidation>
    <dataValidation type="list" allowBlank="1" showInputMessage="1" showErrorMessage="1" sqref="D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D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D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D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D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D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D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D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D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D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D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D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D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D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D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D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formula1>$A$17:$A$21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workbookViewId="0"/>
  </sheetViews>
  <sheetFormatPr baseColWidth="10" defaultRowHeight="15" x14ac:dyDescent="0.25"/>
  <cols>
    <col min="1" max="1" width="19.7109375" customWidth="1"/>
    <col min="2" max="2" width="53.28515625" customWidth="1"/>
    <col min="3" max="3" width="15.85546875" customWidth="1"/>
    <col min="5" max="5" width="9.42578125" customWidth="1"/>
    <col min="6" max="6" width="5.85546875" customWidth="1"/>
    <col min="7" max="7" width="64.7109375" customWidth="1"/>
  </cols>
  <sheetData>
    <row r="1" spans="1:8" x14ac:dyDescent="0.25">
      <c r="B1" s="95" t="s">
        <v>190</v>
      </c>
      <c r="C1" s="125"/>
      <c r="D1" s="96" t="s">
        <v>123</v>
      </c>
      <c r="F1" s="84"/>
      <c r="G1" s="125" t="s">
        <v>207</v>
      </c>
      <c r="H1" s="99"/>
    </row>
    <row r="2" spans="1:8" ht="21" customHeight="1" x14ac:dyDescent="0.25">
      <c r="A2" s="1" t="s">
        <v>191</v>
      </c>
      <c r="B2" s="85">
        <v>0</v>
      </c>
      <c r="C2" s="1"/>
      <c r="D2" s="1">
        <v>0</v>
      </c>
      <c r="G2" s="922" t="s">
        <v>224</v>
      </c>
    </row>
    <row r="3" spans="1:8" x14ac:dyDescent="0.25">
      <c r="B3" s="85">
        <f t="shared" ref="B3:B8" si="0">B2+20</f>
        <v>20</v>
      </c>
      <c r="C3" s="1"/>
      <c r="D3" s="1">
        <f>((C2+C3)/2)*7.85</f>
        <v>0</v>
      </c>
      <c r="G3" s="922"/>
    </row>
    <row r="4" spans="1:8" x14ac:dyDescent="0.25">
      <c r="B4" s="85">
        <f t="shared" si="0"/>
        <v>40</v>
      </c>
      <c r="C4" s="1"/>
      <c r="D4" s="1">
        <f>((C3+C4)/2)*20</f>
        <v>0</v>
      </c>
      <c r="G4" s="922"/>
    </row>
    <row r="5" spans="1:8" x14ac:dyDescent="0.25">
      <c r="B5" s="85">
        <f t="shared" si="0"/>
        <v>60</v>
      </c>
      <c r="C5" s="1"/>
      <c r="D5" s="1">
        <f>((C4+C5)/2)*20</f>
        <v>0</v>
      </c>
      <c r="G5" s="922"/>
    </row>
    <row r="6" spans="1:8" ht="15" customHeight="1" x14ac:dyDescent="0.25">
      <c r="B6" s="85">
        <f t="shared" si="0"/>
        <v>80</v>
      </c>
      <c r="C6" s="1"/>
      <c r="D6" s="1">
        <f>((C5+C6)/2)*20</f>
        <v>0</v>
      </c>
      <c r="G6" s="922" t="s">
        <v>223</v>
      </c>
    </row>
    <row r="7" spans="1:8" x14ac:dyDescent="0.25">
      <c r="B7" s="85">
        <f t="shared" si="0"/>
        <v>100</v>
      </c>
      <c r="C7" s="1"/>
      <c r="D7" s="1">
        <f>((C6+C7)/2)*20</f>
        <v>0</v>
      </c>
      <c r="G7" s="922"/>
    </row>
    <row r="8" spans="1:8" x14ac:dyDescent="0.25">
      <c r="B8" s="85">
        <f t="shared" si="0"/>
        <v>120</v>
      </c>
      <c r="C8" s="1"/>
      <c r="D8" s="1">
        <f>((C7+C8)/2)*20</f>
        <v>0</v>
      </c>
      <c r="G8" s="922"/>
    </row>
    <row r="9" spans="1:8" x14ac:dyDescent="0.25">
      <c r="B9" s="123"/>
      <c r="C9" s="1"/>
      <c r="D9" s="1"/>
      <c r="G9" s="922" t="s">
        <v>221</v>
      </c>
    </row>
    <row r="10" spans="1:8" x14ac:dyDescent="0.25">
      <c r="B10" s="123"/>
      <c r="C10" s="1"/>
      <c r="D10" s="1"/>
      <c r="G10" s="922"/>
    </row>
    <row r="11" spans="1:8" ht="34.5" customHeight="1" x14ac:dyDescent="0.25">
      <c r="A11" s="95" t="s">
        <v>211</v>
      </c>
      <c r="B11" s="150">
        <f>B8-(B2-C12+20)</f>
        <v>116.8</v>
      </c>
      <c r="C11" s="2"/>
      <c r="D11" s="2"/>
      <c r="G11" s="922"/>
    </row>
    <row r="12" spans="1:8" x14ac:dyDescent="0.25">
      <c r="B12" s="102" t="s">
        <v>210</v>
      </c>
      <c r="C12" s="102">
        <v>16.8</v>
      </c>
      <c r="D12" s="2"/>
      <c r="G12" s="922" t="s">
        <v>230</v>
      </c>
    </row>
    <row r="13" spans="1:8" x14ac:dyDescent="0.25">
      <c r="C13" s="2"/>
      <c r="D13" s="2"/>
      <c r="G13" s="922"/>
    </row>
    <row r="14" spans="1:8" x14ac:dyDescent="0.25">
      <c r="B14" s="102" t="s">
        <v>209</v>
      </c>
      <c r="C14" s="102">
        <v>18.3</v>
      </c>
      <c r="G14" s="922"/>
    </row>
    <row r="15" spans="1:8" x14ac:dyDescent="0.25">
      <c r="B15" s="94">
        <v>140</v>
      </c>
      <c r="C15" s="1"/>
      <c r="D15" s="1">
        <v>0</v>
      </c>
      <c r="G15" s="923" t="s">
        <v>232</v>
      </c>
    </row>
    <row r="16" spans="1:8" x14ac:dyDescent="0.25">
      <c r="B16" s="94">
        <f>B15+20</f>
        <v>160</v>
      </c>
      <c r="C16" s="1"/>
      <c r="D16" s="1">
        <f>((C15+C16)/2)*C14</f>
        <v>0</v>
      </c>
      <c r="G16" s="923"/>
    </row>
    <row r="17" spans="1:8" x14ac:dyDescent="0.25">
      <c r="B17" s="94">
        <f>B16+20</f>
        <v>180</v>
      </c>
      <c r="C17" s="1"/>
      <c r="D17" s="1">
        <f>((C16+C17)/2)*20</f>
        <v>0</v>
      </c>
      <c r="G17" s="923"/>
    </row>
    <row r="18" spans="1:8" x14ac:dyDescent="0.25">
      <c r="B18" s="94">
        <f>B17+20</f>
        <v>200</v>
      </c>
      <c r="C18" s="1"/>
      <c r="D18" s="1">
        <f>((C17+C18)/2)*20</f>
        <v>0</v>
      </c>
      <c r="G18" s="127" t="s">
        <v>233</v>
      </c>
    </row>
    <row r="19" spans="1:8" x14ac:dyDescent="0.25">
      <c r="B19" s="94">
        <f>B18+20</f>
        <v>220</v>
      </c>
      <c r="C19" s="1"/>
      <c r="D19" s="1">
        <f>((C18+C19)/2)*20</f>
        <v>0</v>
      </c>
      <c r="G19" s="128" t="s">
        <v>234</v>
      </c>
    </row>
    <row r="20" spans="1:8" x14ac:dyDescent="0.25">
      <c r="A20" s="93"/>
      <c r="B20" s="94">
        <f>B19+7.29</f>
        <v>227.29</v>
      </c>
      <c r="C20" s="1"/>
      <c r="D20" s="1">
        <f>((C19+C20)/2)*20</f>
        <v>0</v>
      </c>
      <c r="G20" s="128" t="s">
        <v>235</v>
      </c>
    </row>
    <row r="21" spans="1:8" x14ac:dyDescent="0.25">
      <c r="A21" s="93"/>
      <c r="B21" s="94"/>
      <c r="C21" s="1"/>
      <c r="D21" s="1"/>
      <c r="G21" s="129" t="s">
        <v>236</v>
      </c>
    </row>
    <row r="22" spans="1:8" x14ac:dyDescent="0.25">
      <c r="A22" s="93"/>
      <c r="B22" s="94"/>
      <c r="C22" s="1"/>
      <c r="D22" s="1"/>
      <c r="G22" s="130" t="s">
        <v>237</v>
      </c>
    </row>
    <row r="23" spans="1:8" x14ac:dyDescent="0.25">
      <c r="A23" s="93"/>
      <c r="B23" s="94"/>
      <c r="C23" s="1"/>
      <c r="D23" s="1"/>
    </row>
    <row r="24" spans="1:8" ht="28.5" customHeight="1" x14ac:dyDescent="0.25">
      <c r="A24" s="93"/>
      <c r="B24" s="94"/>
      <c r="C24" s="1"/>
      <c r="D24" s="1"/>
    </row>
    <row r="25" spans="1:8" x14ac:dyDescent="0.25">
      <c r="A25" s="93"/>
      <c r="B25" s="94"/>
      <c r="C25" s="1"/>
      <c r="D25" s="1"/>
    </row>
    <row r="26" spans="1:8" x14ac:dyDescent="0.25">
      <c r="A26" s="93"/>
      <c r="B26" s="94"/>
      <c r="C26" s="1"/>
      <c r="D26" s="1"/>
    </row>
    <row r="27" spans="1:8" ht="30" x14ac:dyDescent="0.25">
      <c r="A27" s="95" t="s">
        <v>212</v>
      </c>
      <c r="B27" s="149">
        <f>B20-(B15-C14+20)</f>
        <v>85.59</v>
      </c>
      <c r="C27" s="1" t="s">
        <v>208</v>
      </c>
      <c r="D27" s="80">
        <f>SUM(D2:D20)</f>
        <v>0</v>
      </c>
    </row>
    <row r="28" spans="1:8" x14ac:dyDescent="0.25">
      <c r="G28" s="1" t="s">
        <v>216</v>
      </c>
      <c r="H28" s="1">
        <v>227.29</v>
      </c>
    </row>
    <row r="29" spans="1:8" x14ac:dyDescent="0.25">
      <c r="G29" s="1" t="s">
        <v>217</v>
      </c>
      <c r="H29" s="1">
        <v>26.83</v>
      </c>
    </row>
    <row r="30" spans="1:8" x14ac:dyDescent="0.25">
      <c r="G30" s="101" t="s">
        <v>192</v>
      </c>
      <c r="H30" s="1">
        <v>10</v>
      </c>
    </row>
    <row r="31" spans="1:8" x14ac:dyDescent="0.25">
      <c r="B31" s="86" t="s">
        <v>72</v>
      </c>
      <c r="C31" s="87" t="s">
        <v>51</v>
      </c>
      <c r="D31" s="88" t="s">
        <v>52</v>
      </c>
      <c r="G31" s="8" t="s">
        <v>231</v>
      </c>
      <c r="H31" s="1">
        <f>H28-H29</f>
        <v>200.45999999999998</v>
      </c>
    </row>
    <row r="32" spans="1:8" x14ac:dyDescent="0.25">
      <c r="B32" s="89" t="s">
        <v>73</v>
      </c>
      <c r="C32" s="89" t="s">
        <v>29</v>
      </c>
      <c r="D32" s="98">
        <f>D27</f>
        <v>0</v>
      </c>
      <c r="G32" s="120" t="s">
        <v>222</v>
      </c>
      <c r="H32" s="97">
        <f>B11+B27</f>
        <v>202.39</v>
      </c>
    </row>
    <row r="33" spans="1:9" x14ac:dyDescent="0.25">
      <c r="B33" s="89" t="s">
        <v>226</v>
      </c>
      <c r="C33" s="89" t="s">
        <v>29</v>
      </c>
      <c r="D33" s="90">
        <f>(H30*H31)*$H$41</f>
        <v>601.38</v>
      </c>
      <c r="G33" s="121" t="s">
        <v>194</v>
      </c>
      <c r="H33" s="91">
        <v>22.76</v>
      </c>
      <c r="I33" t="s">
        <v>30</v>
      </c>
    </row>
    <row r="34" spans="1:9" x14ac:dyDescent="0.25">
      <c r="A34" s="924"/>
      <c r="B34" s="126" t="s">
        <v>193</v>
      </c>
      <c r="C34" s="89" t="s">
        <v>29</v>
      </c>
      <c r="D34" s="90">
        <f>(H31*H30)*$H$40</f>
        <v>400.92</v>
      </c>
      <c r="G34" s="121" t="s">
        <v>228</v>
      </c>
      <c r="H34" s="91">
        <v>68.5</v>
      </c>
      <c r="I34" t="s">
        <v>30</v>
      </c>
    </row>
    <row r="35" spans="1:9" x14ac:dyDescent="0.25">
      <c r="A35" s="924"/>
      <c r="B35" s="126" t="s">
        <v>250</v>
      </c>
      <c r="C35" s="89" t="s">
        <v>29</v>
      </c>
      <c r="D35" s="90">
        <f>(H31*H30)*$H$37</f>
        <v>0</v>
      </c>
      <c r="G35" s="121" t="s">
        <v>195</v>
      </c>
      <c r="H35" s="91">
        <v>0.32319999999999999</v>
      </c>
      <c r="I35" t="s">
        <v>29</v>
      </c>
    </row>
    <row r="36" spans="1:9" x14ac:dyDescent="0.25">
      <c r="B36" s="126" t="s">
        <v>74</v>
      </c>
      <c r="C36" s="89" t="s">
        <v>29</v>
      </c>
      <c r="D36" s="90">
        <f>((H31*H30)*H38)+((H29*H30)*H39)</f>
        <v>110.962</v>
      </c>
      <c r="G36" s="121" t="s">
        <v>197</v>
      </c>
      <c r="H36" s="91">
        <v>0.1024</v>
      </c>
      <c r="I36" t="s">
        <v>69</v>
      </c>
    </row>
    <row r="37" spans="1:9" x14ac:dyDescent="0.25">
      <c r="B37" s="89" t="s">
        <v>75</v>
      </c>
      <c r="C37" s="89" t="s">
        <v>69</v>
      </c>
      <c r="D37" s="90">
        <f>H31*H30</f>
        <v>2004.6</v>
      </c>
      <c r="G37" s="121" t="s">
        <v>249</v>
      </c>
      <c r="H37" s="91">
        <v>0</v>
      </c>
    </row>
    <row r="38" spans="1:9" x14ac:dyDescent="0.25">
      <c r="B38" s="89" t="s">
        <v>196</v>
      </c>
      <c r="C38" s="89" t="s">
        <v>30</v>
      </c>
      <c r="D38" s="90">
        <f>H45*H33</f>
        <v>0</v>
      </c>
      <c r="G38" s="91" t="s">
        <v>220</v>
      </c>
      <c r="H38" s="91">
        <v>0.05</v>
      </c>
    </row>
    <row r="39" spans="1:9" x14ac:dyDescent="0.25">
      <c r="B39" s="89" t="s">
        <v>76</v>
      </c>
      <c r="C39" s="89" t="s">
        <v>30</v>
      </c>
      <c r="D39" s="90">
        <f>H45*H34</f>
        <v>0</v>
      </c>
      <c r="G39" s="91" t="s">
        <v>219</v>
      </c>
      <c r="H39" s="91">
        <v>0.04</v>
      </c>
    </row>
    <row r="40" spans="1:9" x14ac:dyDescent="0.25">
      <c r="B40" s="89" t="s">
        <v>198</v>
      </c>
      <c r="C40" s="89" t="s">
        <v>29</v>
      </c>
      <c r="D40" s="90">
        <f>(H35*H46)+(H47*H36)</f>
        <v>0</v>
      </c>
      <c r="G40" s="91" t="s">
        <v>225</v>
      </c>
      <c r="H40" s="91">
        <v>0.2</v>
      </c>
    </row>
    <row r="41" spans="1:9" x14ac:dyDescent="0.25">
      <c r="G41" s="91" t="s">
        <v>218</v>
      </c>
      <c r="H41" s="91">
        <v>0.3</v>
      </c>
    </row>
    <row r="45" spans="1:9" x14ac:dyDescent="0.25">
      <c r="G45" s="101" t="s">
        <v>199</v>
      </c>
      <c r="H45" s="1">
        <v>0</v>
      </c>
      <c r="I45" t="s">
        <v>45</v>
      </c>
    </row>
    <row r="46" spans="1:9" x14ac:dyDescent="0.25">
      <c r="G46" s="120" t="s">
        <v>200</v>
      </c>
      <c r="H46" s="1">
        <v>0</v>
      </c>
      <c r="I46" t="s">
        <v>45</v>
      </c>
    </row>
    <row r="47" spans="1:9" x14ac:dyDescent="0.25">
      <c r="B47" s="92" t="s">
        <v>201</v>
      </c>
      <c r="G47" s="120" t="s">
        <v>202</v>
      </c>
      <c r="H47" s="1">
        <v>0</v>
      </c>
      <c r="I47" t="s">
        <v>90</v>
      </c>
    </row>
    <row r="48" spans="1:9" x14ac:dyDescent="0.25">
      <c r="B48" s="1" t="s">
        <v>238</v>
      </c>
      <c r="C48" s="1" t="s">
        <v>29</v>
      </c>
      <c r="D48" s="1">
        <f>(H48+H49)*0.1</f>
        <v>0</v>
      </c>
      <c r="G48" s="120" t="s">
        <v>203</v>
      </c>
      <c r="H48" s="8">
        <v>0</v>
      </c>
      <c r="I48" t="s">
        <v>69</v>
      </c>
    </row>
    <row r="49" spans="1:9" x14ac:dyDescent="0.25">
      <c r="B49" s="1" t="s">
        <v>239</v>
      </c>
      <c r="C49" s="1" t="s">
        <v>29</v>
      </c>
      <c r="D49" s="1">
        <f>(H50+H51)*$H$52</f>
        <v>0</v>
      </c>
      <c r="G49" s="120" t="s">
        <v>204</v>
      </c>
      <c r="H49" s="8">
        <v>0</v>
      </c>
      <c r="I49" t="s">
        <v>69</v>
      </c>
    </row>
    <row r="50" spans="1:9" x14ac:dyDescent="0.25">
      <c r="B50" s="1" t="s">
        <v>77</v>
      </c>
      <c r="C50" s="1" t="s">
        <v>69</v>
      </c>
      <c r="D50" s="1">
        <f>H48+H49</f>
        <v>0</v>
      </c>
      <c r="G50" s="120" t="s">
        <v>205</v>
      </c>
      <c r="H50" s="8">
        <v>0</v>
      </c>
      <c r="I50" t="s">
        <v>90</v>
      </c>
    </row>
    <row r="51" spans="1:9" x14ac:dyDescent="0.25">
      <c r="B51" s="1" t="s">
        <v>78</v>
      </c>
      <c r="C51" s="1" t="s">
        <v>69</v>
      </c>
      <c r="D51" s="77">
        <f>(H30*0.2)*2</f>
        <v>4</v>
      </c>
      <c r="G51" s="120" t="s">
        <v>206</v>
      </c>
      <c r="H51" s="8">
        <v>0</v>
      </c>
      <c r="I51" t="s">
        <v>90</v>
      </c>
    </row>
    <row r="52" spans="1:9" x14ac:dyDescent="0.25">
      <c r="B52" s="1" t="s">
        <v>79</v>
      </c>
      <c r="C52" s="1" t="s">
        <v>29</v>
      </c>
      <c r="D52" s="1">
        <f>(H50+H51)*H53</f>
        <v>0</v>
      </c>
      <c r="G52" s="122" t="s">
        <v>240</v>
      </c>
      <c r="H52" s="122">
        <v>0.113</v>
      </c>
    </row>
    <row r="53" spans="1:9" x14ac:dyDescent="0.25">
      <c r="G53" s="122" t="s">
        <v>241</v>
      </c>
      <c r="H53" s="122">
        <v>0.15</v>
      </c>
    </row>
    <row r="58" spans="1:9" ht="14.25" customHeight="1" x14ac:dyDescent="0.25"/>
    <row r="59" spans="1:9" ht="28.5" customHeight="1" x14ac:dyDescent="0.25"/>
    <row r="63" spans="1:9" x14ac:dyDescent="0.25">
      <c r="A63" s="124"/>
    </row>
    <row r="64" spans="1:9" x14ac:dyDescent="0.25">
      <c r="A64" s="124"/>
    </row>
    <row r="68" spans="1:6" ht="30" x14ac:dyDescent="0.25">
      <c r="A68" s="124" t="s">
        <v>227</v>
      </c>
      <c r="B68" s="28"/>
      <c r="C68" s="28" t="s">
        <v>125</v>
      </c>
      <c r="D68" s="28" t="s">
        <v>122</v>
      </c>
      <c r="E68" s="28" t="s">
        <v>124</v>
      </c>
      <c r="F68" s="36" t="s">
        <v>229</v>
      </c>
    </row>
    <row r="69" spans="1:6" ht="28.5" x14ac:dyDescent="0.25">
      <c r="B69" s="28" t="s">
        <v>187</v>
      </c>
      <c r="C69" s="28">
        <v>15</v>
      </c>
      <c r="D69" s="28">
        <v>10</v>
      </c>
      <c r="E69" s="28">
        <v>0.8</v>
      </c>
      <c r="F69" s="1">
        <f>((C69*D69)*E69)*2</f>
        <v>240</v>
      </c>
    </row>
  </sheetData>
  <mergeCells count="6">
    <mergeCell ref="G12:G14"/>
    <mergeCell ref="G15:G17"/>
    <mergeCell ref="A34:A35"/>
    <mergeCell ref="G2:G5"/>
    <mergeCell ref="G9:G11"/>
    <mergeCell ref="G6:G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X89"/>
  <sheetViews>
    <sheetView showGridLines="0" topLeftCell="A28" zoomScale="85" zoomScaleNormal="85" workbookViewId="0">
      <selection activeCell="J43" sqref="J43:K43"/>
    </sheetView>
  </sheetViews>
  <sheetFormatPr baseColWidth="10" defaultRowHeight="15" x14ac:dyDescent="0.25"/>
  <cols>
    <col min="1" max="1" width="4.85546875" customWidth="1"/>
    <col min="2" max="2" width="9.7109375" customWidth="1"/>
    <col min="3" max="3" width="13.5703125" customWidth="1"/>
    <col min="4" max="4" width="11" customWidth="1"/>
    <col min="5" max="5" width="12.28515625" customWidth="1"/>
    <col min="6" max="6" width="44.140625" customWidth="1"/>
    <col min="7" max="7" width="6.85546875" customWidth="1"/>
    <col min="8" max="8" width="10.42578125" customWidth="1"/>
    <col min="9" max="9" width="7.5703125" customWidth="1"/>
    <col min="10" max="10" width="9.28515625" customWidth="1"/>
    <col min="11" max="11" width="10.140625" customWidth="1"/>
    <col min="12" max="12" width="5.85546875" customWidth="1"/>
    <col min="13" max="13" width="11" customWidth="1"/>
    <col min="14" max="14" width="5.28515625" customWidth="1"/>
    <col min="15" max="15" width="16.28515625" customWidth="1"/>
    <col min="16" max="16" width="17.85546875" customWidth="1"/>
    <col min="17" max="17" width="8.85546875" customWidth="1"/>
    <col min="18" max="18" width="11.85546875" bestFit="1" customWidth="1"/>
  </cols>
  <sheetData>
    <row r="1" spans="1:24" ht="19.5" thickBot="1" x14ac:dyDescent="0.35">
      <c r="A1" s="968" t="s">
        <v>341</v>
      </c>
      <c r="B1" s="969"/>
      <c r="C1" s="969"/>
      <c r="D1" s="969"/>
      <c r="E1" s="969"/>
      <c r="F1" s="969"/>
      <c r="G1" s="969"/>
      <c r="H1" s="969"/>
      <c r="I1" s="969"/>
      <c r="J1" s="969"/>
      <c r="K1" s="970"/>
    </row>
    <row r="2" spans="1:24" ht="15.75" thickBot="1" x14ac:dyDescent="0.3">
      <c r="A2" s="5"/>
      <c r="B2" s="6"/>
      <c r="C2" s="6"/>
      <c r="D2" s="6"/>
      <c r="E2" s="6"/>
      <c r="F2" s="6"/>
      <c r="G2" s="6"/>
      <c r="H2" s="6"/>
      <c r="I2" s="6"/>
      <c r="J2" s="6"/>
      <c r="K2" s="7"/>
    </row>
    <row r="3" spans="1:24" ht="15.75" thickBot="1" x14ac:dyDescent="0.3">
      <c r="A3" s="246" t="s">
        <v>0</v>
      </c>
      <c r="B3" s="265" t="s">
        <v>1</v>
      </c>
      <c r="C3" s="265" t="s">
        <v>2</v>
      </c>
      <c r="D3" s="265" t="s">
        <v>3</v>
      </c>
      <c r="E3" s="265" t="s">
        <v>4</v>
      </c>
      <c r="F3" s="971" t="s">
        <v>5</v>
      </c>
      <c r="G3" s="972"/>
      <c r="H3" s="265" t="s">
        <v>7</v>
      </c>
      <c r="I3" s="265" t="s">
        <v>8</v>
      </c>
      <c r="J3" s="265" t="s">
        <v>28</v>
      </c>
      <c r="K3" s="266" t="s">
        <v>9</v>
      </c>
      <c r="L3" s="2"/>
    </row>
    <row r="4" spans="1:24" ht="31.5" customHeight="1" thickBot="1" x14ac:dyDescent="0.3">
      <c r="A4" s="973" t="s">
        <v>10</v>
      </c>
      <c r="B4" s="827" t="s">
        <v>6</v>
      </c>
      <c r="C4" s="249" t="s">
        <v>16</v>
      </c>
      <c r="D4" s="249">
        <v>24</v>
      </c>
      <c r="E4" s="279">
        <f>H4+(I4*2)+(J4*2)</f>
        <v>1291</v>
      </c>
      <c r="F4" s="977"/>
      <c r="G4" s="977"/>
      <c r="H4" s="285">
        <f>1191-(2*5)-(2*VLOOKUP(C4,$O$5:$S$11,4,FALSE))</f>
        <v>1163</v>
      </c>
      <c r="I4" s="286">
        <v>50</v>
      </c>
      <c r="J4" s="249">
        <f>VLOOKUP(C4,$O$5:$S$11,5,FALSE)</f>
        <v>14</v>
      </c>
      <c r="K4" s="287">
        <f t="shared" ref="K4:K16" si="0">(E4/100)*D4*VLOOKUP(C4,$O$5:$Q$11,3,FALSE)</f>
        <v>1236.2616000000003</v>
      </c>
      <c r="L4" s="229" t="s">
        <v>43</v>
      </c>
      <c r="M4" s="20"/>
      <c r="N4" s="20"/>
      <c r="O4" s="238" t="s">
        <v>19</v>
      </c>
      <c r="P4" s="239" t="s">
        <v>20</v>
      </c>
      <c r="Q4" s="239" t="s">
        <v>25</v>
      </c>
      <c r="R4" s="240" t="s">
        <v>311</v>
      </c>
      <c r="S4" s="241" t="s">
        <v>312</v>
      </c>
      <c r="T4" s="11"/>
      <c r="U4" s="223"/>
      <c r="V4" s="20"/>
      <c r="W4" s="20"/>
      <c r="X4" s="20"/>
    </row>
    <row r="5" spans="1:24" ht="31.5" customHeight="1" thickBot="1" x14ac:dyDescent="0.3">
      <c r="A5" s="974"/>
      <c r="B5" s="828" t="s">
        <v>255</v>
      </c>
      <c r="C5" s="226" t="s">
        <v>16</v>
      </c>
      <c r="D5" s="226">
        <v>24</v>
      </c>
      <c r="E5" s="281">
        <f>H5+(I5*2)+(J5*2)</f>
        <v>1278</v>
      </c>
      <c r="F5" s="978"/>
      <c r="G5" s="978"/>
      <c r="H5" s="288">
        <f>1178-(2*5)-(2*VLOOKUP(C5,$O$5:$S$11,4,FALSE))</f>
        <v>1150</v>
      </c>
      <c r="I5" s="289">
        <v>50</v>
      </c>
      <c r="J5" s="226">
        <f>VLOOKUP(C5,$O$5:$S$11,5,FALSE)</f>
        <v>14</v>
      </c>
      <c r="K5" s="290">
        <f t="shared" si="0"/>
        <v>1223.8127999999999</v>
      </c>
      <c r="L5" s="229" t="s">
        <v>43</v>
      </c>
      <c r="M5" s="20"/>
      <c r="N5" s="20"/>
      <c r="O5" s="235" t="s">
        <v>243</v>
      </c>
      <c r="P5" s="236" t="s">
        <v>21</v>
      </c>
      <c r="Q5" s="262">
        <v>0.55700000000000005</v>
      </c>
      <c r="R5" s="237">
        <f>ROUNDUP((3/8*2.54*3.5),0)</f>
        <v>4</v>
      </c>
      <c r="S5" s="260">
        <f t="shared" ref="S5:S11" si="1">ROUND(+PI()*R5*2/4,0)</f>
        <v>6</v>
      </c>
      <c r="T5" s="11"/>
      <c r="U5" s="223"/>
      <c r="V5" s="20"/>
      <c r="W5" s="20"/>
      <c r="X5" s="20"/>
    </row>
    <row r="6" spans="1:24" ht="31.5" customHeight="1" thickBot="1" x14ac:dyDescent="0.3">
      <c r="A6" s="975"/>
      <c r="B6" s="828" t="s">
        <v>11</v>
      </c>
      <c r="C6" s="226" t="s">
        <v>17</v>
      </c>
      <c r="D6" s="226">
        <v>8</v>
      </c>
      <c r="E6" s="281">
        <f>H6+(I6*2)+(J6*2)</f>
        <v>1181</v>
      </c>
      <c r="F6" s="978"/>
      <c r="G6" s="978"/>
      <c r="H6" s="288">
        <f>1191-(2*5)</f>
        <v>1181</v>
      </c>
      <c r="I6" s="289"/>
      <c r="J6" s="291"/>
      <c r="K6" s="290">
        <f t="shared" si="0"/>
        <v>211.1628</v>
      </c>
      <c r="L6" s="229" t="s">
        <v>43</v>
      </c>
      <c r="M6" s="20"/>
      <c r="N6" s="20"/>
      <c r="O6" s="9" t="s">
        <v>18</v>
      </c>
      <c r="P6" s="220" t="s">
        <v>22</v>
      </c>
      <c r="Q6" s="263">
        <v>0.996</v>
      </c>
      <c r="R6" s="214">
        <f>ROUNDUP((4/8*2.54*3.5),0)</f>
        <v>5</v>
      </c>
      <c r="S6" s="259">
        <f t="shared" si="1"/>
        <v>8</v>
      </c>
      <c r="T6" s="224"/>
      <c r="U6" s="227"/>
      <c r="V6" s="218"/>
      <c r="W6" s="218"/>
      <c r="X6" s="228"/>
    </row>
    <row r="7" spans="1:24" ht="31.5" customHeight="1" thickBot="1" x14ac:dyDescent="0.3">
      <c r="A7" s="975"/>
      <c r="B7" s="828" t="s">
        <v>263</v>
      </c>
      <c r="C7" s="226" t="s">
        <v>17</v>
      </c>
      <c r="D7" s="226">
        <v>8</v>
      </c>
      <c r="E7" s="281">
        <f>H7+(I7*2)+(J7*2)</f>
        <v>1168</v>
      </c>
      <c r="F7" s="270"/>
      <c r="G7" s="270"/>
      <c r="H7" s="288">
        <f>1178-(2*5)</f>
        <v>1168</v>
      </c>
      <c r="I7" s="289"/>
      <c r="J7" s="291"/>
      <c r="K7" s="290">
        <f t="shared" si="0"/>
        <v>208.83839999999998</v>
      </c>
      <c r="L7" s="229" t="s">
        <v>43</v>
      </c>
      <c r="M7" s="20"/>
      <c r="N7" s="20"/>
      <c r="O7" s="230" t="s">
        <v>244</v>
      </c>
      <c r="P7" s="231" t="s">
        <v>23</v>
      </c>
      <c r="Q7" s="262">
        <v>1.55</v>
      </c>
      <c r="R7" s="232">
        <f>ROUNDUP((5/8*2.54*3.5),0)</f>
        <v>6</v>
      </c>
      <c r="S7" s="261">
        <f t="shared" si="1"/>
        <v>9</v>
      </c>
      <c r="T7" s="224"/>
      <c r="U7" s="227"/>
      <c r="V7" s="218"/>
      <c r="W7" s="218"/>
      <c r="X7" s="228"/>
    </row>
    <row r="8" spans="1:24" ht="31.5" customHeight="1" thickBot="1" x14ac:dyDescent="0.3">
      <c r="A8" s="975"/>
      <c r="B8" s="828" t="s">
        <v>12</v>
      </c>
      <c r="C8" s="226" t="s">
        <v>18</v>
      </c>
      <c r="D8" s="226">
        <f>55+55</f>
        <v>110</v>
      </c>
      <c r="E8" s="281">
        <f>(H8*2)+(I8*2)+(J8*5)+20</f>
        <v>520</v>
      </c>
      <c r="F8" s="252"/>
      <c r="G8" s="252"/>
      <c r="H8" s="280">
        <f>150-(2*5)-(2*VLOOKUP(C8,$O$5:$S$11,4,FALSE))</f>
        <v>130</v>
      </c>
      <c r="I8" s="226">
        <f>120-(2*5)-(2*VLOOKUP(C8,$O$5:$S$11,4,FALSE))</f>
        <v>100</v>
      </c>
      <c r="J8" s="226">
        <f>VLOOKUP(C8,$O$5:$S$11,5,FALSE)</f>
        <v>8</v>
      </c>
      <c r="K8" s="290">
        <f t="shared" si="0"/>
        <v>569.71199999999999</v>
      </c>
      <c r="L8" s="229" t="s">
        <v>43</v>
      </c>
      <c r="M8" s="20"/>
      <c r="N8" s="20"/>
      <c r="O8" s="9" t="s">
        <v>17</v>
      </c>
      <c r="P8" s="220" t="s">
        <v>24</v>
      </c>
      <c r="Q8" s="263">
        <v>2.2349999999999999</v>
      </c>
      <c r="R8" s="214">
        <f>ROUNDUP((6/8*2.54*3.5),0)</f>
        <v>7</v>
      </c>
      <c r="S8" s="259">
        <f t="shared" si="1"/>
        <v>11</v>
      </c>
      <c r="T8" s="224"/>
      <c r="U8" s="225"/>
    </row>
    <row r="9" spans="1:24" ht="31.5" customHeight="1" thickBot="1" x14ac:dyDescent="0.3">
      <c r="A9" s="975"/>
      <c r="B9" s="828" t="s">
        <v>261</v>
      </c>
      <c r="C9" s="226" t="s">
        <v>18</v>
      </c>
      <c r="D9" s="226">
        <v>12</v>
      </c>
      <c r="E9" s="281">
        <f>(H9*2)+(I9*2)+(J9*5)+20</f>
        <v>554</v>
      </c>
      <c r="F9" s="252"/>
      <c r="G9" s="252"/>
      <c r="H9" s="280">
        <f>157-(2*VLOOKUP(C9,O5:S11,4,FALSE))</f>
        <v>147</v>
      </c>
      <c r="I9" s="226">
        <f>120-(2*5)-(2*VLOOKUP(C9,$O$5:$S$11,4,FALSE))</f>
        <v>100</v>
      </c>
      <c r="J9" s="226">
        <f>VLOOKUP(C9,$O$5:$S$11,5,FALSE)</f>
        <v>8</v>
      </c>
      <c r="K9" s="290">
        <f t="shared" si="0"/>
        <v>66.21408000000001</v>
      </c>
      <c r="L9" s="229" t="s">
        <v>43</v>
      </c>
      <c r="M9" s="20"/>
      <c r="N9" s="20"/>
      <c r="O9" s="230" t="s">
        <v>16</v>
      </c>
      <c r="P9" s="233">
        <v>1</v>
      </c>
      <c r="Q9" s="262">
        <v>3.99</v>
      </c>
      <c r="R9" s="232">
        <f>ROUNDUP((8/8*2.54*3.5),0)</f>
        <v>9</v>
      </c>
      <c r="S9" s="260">
        <f t="shared" si="1"/>
        <v>14</v>
      </c>
      <c r="T9" s="224"/>
      <c r="U9" s="225"/>
    </row>
    <row r="10" spans="1:24" ht="31.5" customHeight="1" thickBot="1" x14ac:dyDescent="0.3">
      <c r="A10" s="975"/>
      <c r="B10" s="828" t="s">
        <v>13</v>
      </c>
      <c r="C10" s="226" t="s">
        <v>18</v>
      </c>
      <c r="D10" s="226">
        <f>55*4</f>
        <v>220</v>
      </c>
      <c r="E10" s="281">
        <f>(H10*2)+(I10*2)+(J10*5)+20</f>
        <v>302</v>
      </c>
      <c r="F10" s="252"/>
      <c r="G10" s="252"/>
      <c r="H10" s="280">
        <f>31-(2*VLOOKUP(C10,$O$5:$S$11,4,FALSE))</f>
        <v>21</v>
      </c>
      <c r="I10" s="226">
        <f>120-(2*5)-(2*VLOOKUP(C10,$O$5:$S$11,4,FALSE))</f>
        <v>100</v>
      </c>
      <c r="J10" s="226">
        <f>VLOOKUP(C10,$O$5:$S$11,5,FALSE)</f>
        <v>8</v>
      </c>
      <c r="K10" s="290">
        <f t="shared" si="0"/>
        <v>661.74239999999998</v>
      </c>
      <c r="L10" s="229" t="s">
        <v>43</v>
      </c>
      <c r="M10" s="20"/>
      <c r="N10" s="20"/>
      <c r="O10" s="9" t="s">
        <v>290</v>
      </c>
      <c r="P10" s="221">
        <v>1.25</v>
      </c>
      <c r="Q10" s="263">
        <v>6.2249999999999996</v>
      </c>
      <c r="R10" s="214">
        <f>ROUNDUP((10/8*2.54*3.5),0)</f>
        <v>12</v>
      </c>
      <c r="S10" s="259">
        <f t="shared" si="1"/>
        <v>19</v>
      </c>
      <c r="T10" s="224"/>
      <c r="U10" s="225"/>
    </row>
    <row r="11" spans="1:24" ht="31.5" customHeight="1" thickBot="1" x14ac:dyDescent="0.3">
      <c r="A11" s="976"/>
      <c r="B11" s="829" t="s">
        <v>101</v>
      </c>
      <c r="C11" s="283" t="s">
        <v>18</v>
      </c>
      <c r="D11" s="283">
        <v>24</v>
      </c>
      <c r="E11" s="284">
        <f>(H11*2)+(I11*2)+(J11*5)+20</f>
        <v>306</v>
      </c>
      <c r="F11" s="271"/>
      <c r="G11" s="271"/>
      <c r="H11" s="282">
        <f>33-(2*VLOOKUP(C11,$O$5:$S$11,4,FALSE))</f>
        <v>23</v>
      </c>
      <c r="I11" s="283">
        <f>120-(2*5)-(2*VLOOKUP(C11,$O$5:$S$11,4,FALSE))</f>
        <v>100</v>
      </c>
      <c r="J11" s="283">
        <f>VLOOKUP(C11,$O$5:$S$11,5,FALSE)</f>
        <v>8</v>
      </c>
      <c r="K11" s="292">
        <f t="shared" si="0"/>
        <v>73.146239999999992</v>
      </c>
      <c r="L11" s="229" t="s">
        <v>43</v>
      </c>
      <c r="M11" s="20"/>
      <c r="N11" s="20"/>
      <c r="O11" s="230" t="s">
        <v>286</v>
      </c>
      <c r="P11" s="234">
        <v>1.5</v>
      </c>
      <c r="Q11" s="262">
        <v>8.9380000000000006</v>
      </c>
      <c r="R11" s="232">
        <f>ROUNDUP((12/8*2.54*3.5),0)</f>
        <v>14</v>
      </c>
      <c r="S11" s="258">
        <f t="shared" si="1"/>
        <v>22</v>
      </c>
      <c r="T11" s="224"/>
      <c r="U11" s="225"/>
    </row>
    <row r="12" spans="1:24" ht="45.75" customHeight="1" x14ac:dyDescent="0.25">
      <c r="A12" s="952" t="s">
        <v>245</v>
      </c>
      <c r="B12" s="860" t="s">
        <v>14</v>
      </c>
      <c r="C12" s="248" t="s">
        <v>18</v>
      </c>
      <c r="D12" s="248">
        <f>(11*2)+6</f>
        <v>28</v>
      </c>
      <c r="E12" s="272">
        <f>H12+(I12*2)+(J12*2)</f>
        <v>1181</v>
      </c>
      <c r="F12" s="979"/>
      <c r="G12" s="274"/>
      <c r="H12" s="409">
        <f>1191-(2*5)</f>
        <v>1181</v>
      </c>
      <c r="I12" s="407"/>
      <c r="J12" s="431"/>
      <c r="K12" s="408">
        <f t="shared" si="0"/>
        <v>329.35728</v>
      </c>
      <c r="L12" s="229" t="s">
        <v>43</v>
      </c>
      <c r="N12" s="20"/>
      <c r="T12" s="224"/>
      <c r="U12" s="225"/>
    </row>
    <row r="13" spans="1:24" ht="45.75" customHeight="1" x14ac:dyDescent="0.25">
      <c r="A13" s="953"/>
      <c r="B13" s="861" t="s">
        <v>37</v>
      </c>
      <c r="C13" s="253" t="s">
        <v>18</v>
      </c>
      <c r="D13" s="253">
        <f>(11*2)+6</f>
        <v>28</v>
      </c>
      <c r="E13" s="24">
        <f>H13+(I13*2)+(J13*2)</f>
        <v>1168</v>
      </c>
      <c r="F13" s="980"/>
      <c r="G13" s="275"/>
      <c r="H13" s="268">
        <f>1178-(2*5)</f>
        <v>1168</v>
      </c>
      <c r="I13" s="253"/>
      <c r="J13" s="222"/>
      <c r="K13" s="215">
        <f t="shared" si="0"/>
        <v>325.73183999999998</v>
      </c>
      <c r="L13" s="229" t="s">
        <v>43</v>
      </c>
      <c r="M13" s="11"/>
      <c r="N13" s="20"/>
      <c r="T13" s="224"/>
      <c r="U13" s="225"/>
    </row>
    <row r="14" spans="1:24" ht="66.75" customHeight="1" x14ac:dyDescent="0.25">
      <c r="A14" s="953"/>
      <c r="B14" s="861" t="s">
        <v>262</v>
      </c>
      <c r="C14" s="253" t="s">
        <v>18</v>
      </c>
      <c r="D14" s="253">
        <v>57</v>
      </c>
      <c r="E14" s="24">
        <f>(H14*2)+(I14*2)+(J14*5)+20</f>
        <v>740</v>
      </c>
      <c r="F14" s="981"/>
      <c r="G14" s="252"/>
      <c r="H14" s="268">
        <f>343-(5+3)-(2*VLOOKUP(C14,$O$5:$S$11,4,FALSE))</f>
        <v>325</v>
      </c>
      <c r="I14" s="253">
        <f>31-(2*3)-(2*VLOOKUP(C14,$O$5:$S$11,4,FALSE))</f>
        <v>15</v>
      </c>
      <c r="J14" s="226">
        <f>VLOOKUP(C14,$O$5:$S$11,5,FALSE)</f>
        <v>8</v>
      </c>
      <c r="K14" s="215">
        <f t="shared" si="0"/>
        <v>420.11279999999999</v>
      </c>
      <c r="L14" s="229" t="s">
        <v>43</v>
      </c>
      <c r="M14" s="11"/>
      <c r="N14" s="20"/>
      <c r="O14" s="3"/>
      <c r="P14" s="217"/>
      <c r="Q14" s="217"/>
      <c r="R14" s="20"/>
    </row>
    <row r="15" spans="1:24" ht="66.75" customHeight="1" x14ac:dyDescent="0.25">
      <c r="A15" s="953"/>
      <c r="B15" s="861" t="s">
        <v>35</v>
      </c>
      <c r="C15" s="253" t="s">
        <v>18</v>
      </c>
      <c r="D15" s="253">
        <v>58</v>
      </c>
      <c r="E15" s="24">
        <f>(H15*2)+(I15*2)+(J15*5)+20</f>
        <v>740</v>
      </c>
      <c r="F15" s="981"/>
      <c r="G15" s="252"/>
      <c r="H15" s="268">
        <f>343-(5+3)-(2*VLOOKUP(C15,$O$5:$S$11,4,FALSE))</f>
        <v>325</v>
      </c>
      <c r="I15" s="253">
        <f>31-(2*3)-(2*VLOOKUP(C15,$O$5:$S$11,4,FALSE))</f>
        <v>15</v>
      </c>
      <c r="J15" s="226">
        <f>VLOOKUP(C15,$O$5:$S$11,5,FALSE)</f>
        <v>8</v>
      </c>
      <c r="K15" s="215">
        <f t="shared" si="0"/>
        <v>427.48320000000007</v>
      </c>
      <c r="L15" s="229" t="s">
        <v>43</v>
      </c>
      <c r="M15" s="20"/>
      <c r="N15" s="20"/>
      <c r="O15" s="3"/>
      <c r="P15" s="219"/>
      <c r="Q15" s="217"/>
      <c r="R15" s="20"/>
      <c r="S15" s="20"/>
    </row>
    <row r="16" spans="1:24" ht="152.25" customHeight="1" x14ac:dyDescent="0.25">
      <c r="A16" s="953"/>
      <c r="B16" s="861" t="s">
        <v>15</v>
      </c>
      <c r="C16" s="631" t="s">
        <v>18</v>
      </c>
      <c r="D16" s="824">
        <v>110</v>
      </c>
      <c r="E16" s="825">
        <f>H16+I16+61+(J16*4)+39+39</f>
        <v>230</v>
      </c>
      <c r="F16" s="982"/>
      <c r="G16" s="982"/>
      <c r="H16" s="826">
        <f>71-(2*3)-(2*VLOOKUP(C16,O5:S11,4,FALSE))</f>
        <v>55</v>
      </c>
      <c r="I16" s="824">
        <f>20-(2*3)-(2*VLOOKUP(C16,O5:S11,4,FALSE))</f>
        <v>4</v>
      </c>
      <c r="J16" s="824">
        <f>VLOOKUP(C16,O5:S11,5,FALSE)</f>
        <v>8</v>
      </c>
      <c r="K16" s="215">
        <f t="shared" si="0"/>
        <v>251.98799999999997</v>
      </c>
      <c r="L16" s="966" t="s">
        <v>43</v>
      </c>
      <c r="M16" s="20"/>
      <c r="N16" s="20"/>
      <c r="O16" s="3"/>
      <c r="P16" s="217"/>
      <c r="Q16" s="217"/>
      <c r="R16" s="20"/>
      <c r="S16" s="242"/>
      <c r="T16" s="71"/>
    </row>
    <row r="17" spans="1:23" ht="87.75" customHeight="1" thickBot="1" x14ac:dyDescent="0.3">
      <c r="A17" s="954"/>
      <c r="B17" s="862" t="s">
        <v>449</v>
      </c>
      <c r="C17" s="631" t="s">
        <v>18</v>
      </c>
      <c r="D17" s="824">
        <v>12</v>
      </c>
      <c r="E17" s="825">
        <f>H17+I17+81+(J17*4)+39+39</f>
        <v>250</v>
      </c>
      <c r="F17" s="983"/>
      <c r="G17" s="983"/>
      <c r="H17" s="826">
        <f>71-(2*3)-(2*VLOOKUP(C17,O6:S12,4,FALSE))</f>
        <v>55</v>
      </c>
      <c r="I17" s="824">
        <f>20-(2*3)-(2*VLOOKUP(C17,O6:S12,4,FALSE))</f>
        <v>4</v>
      </c>
      <c r="J17" s="824">
        <f>VLOOKUP(C17,O6:S12,5,FALSE)</f>
        <v>8</v>
      </c>
      <c r="K17" s="215">
        <f t="shared" ref="K17" si="2">(E17/100)*D17*VLOOKUP(C17,$O$5:$Q$11,3,FALSE)</f>
        <v>29.88</v>
      </c>
      <c r="L17" s="966"/>
      <c r="M17" s="20"/>
      <c r="N17" s="20"/>
      <c r="O17" s="3"/>
      <c r="P17" s="21"/>
      <c r="Q17" s="3"/>
      <c r="R17" s="20"/>
    </row>
    <row r="18" spans="1:23" ht="49.5" customHeight="1" x14ac:dyDescent="0.25">
      <c r="A18" s="990" t="s">
        <v>26</v>
      </c>
      <c r="B18" s="860" t="s">
        <v>98</v>
      </c>
      <c r="C18" s="248" t="s">
        <v>18</v>
      </c>
      <c r="D18" s="248">
        <f>6*10</f>
        <v>60</v>
      </c>
      <c r="E18" s="272">
        <f>H18+(I18*2)+(J18*2)</f>
        <v>163</v>
      </c>
      <c r="F18" s="277"/>
      <c r="G18" s="274"/>
      <c r="H18" s="267">
        <f>83-(2*5)-2*(VLOOKUP(C18,$O$5:$S$11,4,FALSE))</f>
        <v>63</v>
      </c>
      <c r="I18" s="248">
        <f>(20-3-(VLOOKUP(C18,$O$5:$S$11,4,FALSE)))+30</f>
        <v>42</v>
      </c>
      <c r="J18" s="248">
        <f t="shared" ref="J18:J24" si="3">VLOOKUP(C18,$O$5:$S$11,5,FALSE)</f>
        <v>8</v>
      </c>
      <c r="K18" s="104">
        <f t="shared" ref="K18:K23" si="4">(E18/100)*D18*VLOOKUP(C18,$O$5:$Q$11,3,FALSE)</f>
        <v>97.408799999999999</v>
      </c>
      <c r="L18" s="243" t="s">
        <v>43</v>
      </c>
      <c r="M18" s="20"/>
      <c r="N18" s="20"/>
      <c r="O18" s="20"/>
      <c r="P18" s="20"/>
      <c r="Q18" s="20"/>
      <c r="R18" s="20"/>
    </row>
    <row r="19" spans="1:23" ht="49.5" customHeight="1" x14ac:dyDescent="0.25">
      <c r="A19" s="991"/>
      <c r="B19" s="861" t="s">
        <v>99</v>
      </c>
      <c r="C19" s="253" t="s">
        <v>18</v>
      </c>
      <c r="D19" s="253">
        <f>6*10</f>
        <v>60</v>
      </c>
      <c r="E19" s="24">
        <f>H19+(I19*2)+(J19*2)</f>
        <v>150</v>
      </c>
      <c r="F19" s="275"/>
      <c r="G19" s="275"/>
      <c r="H19" s="268">
        <f>70-(2*5)-2*(VLOOKUP(C19,$O$5:$S$11,4,FALSE))</f>
        <v>50</v>
      </c>
      <c r="I19" s="253">
        <f>(20-3-(VLOOKUP(C19,$O$5:$S$11,4,FALSE)))+30</f>
        <v>42</v>
      </c>
      <c r="J19" s="253">
        <f t="shared" si="3"/>
        <v>8</v>
      </c>
      <c r="K19" s="106">
        <f t="shared" si="4"/>
        <v>89.64</v>
      </c>
      <c r="L19" s="243" t="s">
        <v>43</v>
      </c>
      <c r="M19" s="20"/>
      <c r="N19" s="20"/>
      <c r="O19" s="20"/>
      <c r="P19" s="20"/>
      <c r="Q19" s="20"/>
      <c r="R19" s="20"/>
    </row>
    <row r="20" spans="1:23" ht="116.25" customHeight="1" thickBot="1" x14ac:dyDescent="0.3">
      <c r="A20" s="992"/>
      <c r="B20" s="863" t="s">
        <v>100</v>
      </c>
      <c r="C20" s="159" t="s">
        <v>18</v>
      </c>
      <c r="D20" s="159">
        <f>4*10</f>
        <v>40</v>
      </c>
      <c r="E20" s="165">
        <f>(H20*2)+(I20*2)+(5*J20)+20</f>
        <v>302</v>
      </c>
      <c r="F20" s="967"/>
      <c r="G20" s="967"/>
      <c r="H20" s="293">
        <f>83-(2*3)-(2*VLOOKUP(C20,O$5:S$11,4,FALSE))</f>
        <v>67</v>
      </c>
      <c r="I20" s="159">
        <f>70-(2*3)-(2*VLOOKUP(C20,$O$5:$S$11,4,FALSE))</f>
        <v>54</v>
      </c>
      <c r="J20" s="159">
        <f t="shared" si="3"/>
        <v>8</v>
      </c>
      <c r="K20" s="108">
        <f t="shared" si="4"/>
        <v>120.3168</v>
      </c>
      <c r="L20" s="243" t="s">
        <v>43</v>
      </c>
      <c r="M20" s="20"/>
      <c r="N20" s="20"/>
      <c r="O20" s="20"/>
      <c r="P20" s="20"/>
      <c r="Q20" s="20"/>
      <c r="R20" s="20"/>
    </row>
    <row r="21" spans="1:23" ht="115.5" customHeight="1" x14ac:dyDescent="0.25">
      <c r="A21" s="952" t="s">
        <v>27</v>
      </c>
      <c r="B21" s="860" t="s">
        <v>271</v>
      </c>
      <c r="C21" s="248" t="s">
        <v>18</v>
      </c>
      <c r="D21" s="248">
        <f>6*4</f>
        <v>24</v>
      </c>
      <c r="E21" s="272">
        <f>(H21*2)+(I21*2)+(5*J21)+20</f>
        <v>284</v>
      </c>
      <c r="F21" s="576"/>
      <c r="G21" s="576"/>
      <c r="H21" s="267">
        <f>44-(2*3)-(2*VLOOKUP(C21,O5:S11,4,FALSE))</f>
        <v>28</v>
      </c>
      <c r="I21" s="248">
        <f>100-(2*3)-(2*VLOOKUP(C21,$O$5:$S$11,4,FALSE))</f>
        <v>84</v>
      </c>
      <c r="J21" s="248">
        <f t="shared" si="3"/>
        <v>8</v>
      </c>
      <c r="K21" s="104">
        <f t="shared" si="4"/>
        <v>67.887360000000001</v>
      </c>
      <c r="L21" s="243" t="s">
        <v>43</v>
      </c>
      <c r="M21" s="20"/>
      <c r="N21" s="20"/>
      <c r="O21" s="20"/>
      <c r="P21" s="20"/>
      <c r="Q21" s="20"/>
      <c r="R21" s="20"/>
    </row>
    <row r="22" spans="1:23" ht="62.25" customHeight="1" x14ac:dyDescent="0.25">
      <c r="A22" s="953"/>
      <c r="B22" s="864" t="s">
        <v>110</v>
      </c>
      <c r="C22" s="222" t="s">
        <v>18</v>
      </c>
      <c r="D22" s="222">
        <f>4*8</f>
        <v>32</v>
      </c>
      <c r="E22" s="273">
        <f>H22+(I22*2)+(J22*2)</f>
        <v>206</v>
      </c>
      <c r="F22" s="571"/>
      <c r="G22" s="571"/>
      <c r="H22" s="269">
        <f>44-(2*4)-(2*VLOOKUP(C22,$O$5:$S$11,4,FALSE))</f>
        <v>26</v>
      </c>
      <c r="I22" s="222">
        <f>((55-3)-(VLOOKUP(C22,$O$5:$S$11,4,FALSE)))+35</f>
        <v>82</v>
      </c>
      <c r="J22" s="222">
        <f t="shared" si="3"/>
        <v>8</v>
      </c>
      <c r="K22" s="254">
        <f t="shared" si="4"/>
        <v>65.656320000000008</v>
      </c>
      <c r="L22" s="243" t="s">
        <v>43</v>
      </c>
      <c r="M22" s="20"/>
      <c r="N22" s="20"/>
      <c r="O22" s="20"/>
      <c r="P22" s="20"/>
      <c r="Q22" s="20"/>
      <c r="R22" s="20"/>
    </row>
    <row r="23" spans="1:23" ht="62.25" customHeight="1" thickBot="1" x14ac:dyDescent="0.3">
      <c r="A23" s="954"/>
      <c r="B23" s="863" t="s">
        <v>273</v>
      </c>
      <c r="C23" s="577" t="s">
        <v>18</v>
      </c>
      <c r="D23" s="251">
        <f>3*4</f>
        <v>12</v>
      </c>
      <c r="E23" s="578">
        <f>H23+(I23*2)+(J23*2)</f>
        <v>275</v>
      </c>
      <c r="F23" s="572"/>
      <c r="G23" s="572"/>
      <c r="H23" s="293">
        <f>131-(2*3)-(2*VLOOKUP(C23,$O$5:$S$11,4,FALSE))</f>
        <v>115</v>
      </c>
      <c r="I23" s="577">
        <f>((45-3)-(VLOOKUP(C23,$O$5:$S$11,4,FALSE)))+35</f>
        <v>72</v>
      </c>
      <c r="J23" s="577">
        <f t="shared" si="3"/>
        <v>8</v>
      </c>
      <c r="K23" s="108">
        <f t="shared" si="4"/>
        <v>32.868000000000002</v>
      </c>
      <c r="L23" s="243" t="s">
        <v>43</v>
      </c>
      <c r="M23" s="20"/>
      <c r="N23" s="20"/>
      <c r="O23" s="20"/>
      <c r="P23" s="20"/>
      <c r="Q23" s="20"/>
      <c r="R23" s="20"/>
    </row>
    <row r="24" spans="1:23" ht="37.5" customHeight="1" thickBot="1" x14ac:dyDescent="0.3">
      <c r="A24" s="955" t="s">
        <v>321</v>
      </c>
      <c r="B24" s="994" t="s">
        <v>264</v>
      </c>
      <c r="C24" s="398" t="s">
        <v>16</v>
      </c>
      <c r="D24" s="573">
        <v>24</v>
      </c>
      <c r="E24" s="575">
        <f>H24+(I24*2)+(2*J24)</f>
        <v>2712</v>
      </c>
      <c r="F24" s="252"/>
      <c r="G24" s="579" t="s">
        <v>31</v>
      </c>
      <c r="H24" s="570">
        <f>(2522+50)-10-(2*VLOOKUP($C$24,$O$5:$S$11,4,FALSE))</f>
        <v>2544</v>
      </c>
      <c r="I24" s="573">
        <v>70</v>
      </c>
      <c r="J24" s="573">
        <f t="shared" si="3"/>
        <v>14</v>
      </c>
      <c r="K24" s="574">
        <f>(((E24+E25)/2)/100)*D24*VLOOKUP(C24,$O$5:$Q$11,3,FALSE)*(M24)</f>
        <v>14944.3056</v>
      </c>
      <c r="L24" s="243" t="s">
        <v>43</v>
      </c>
      <c r="M24" s="244">
        <v>6</v>
      </c>
      <c r="N24" s="20"/>
      <c r="O24" s="11"/>
      <c r="P24" s="245"/>
      <c r="Q24" s="245"/>
      <c r="R24" s="245"/>
      <c r="S24" s="245"/>
      <c r="T24" s="245"/>
      <c r="U24" s="245"/>
      <c r="V24" s="939"/>
      <c r="W24" s="939"/>
    </row>
    <row r="25" spans="1:23" ht="37.5" customHeight="1" x14ac:dyDescent="0.25">
      <c r="A25" s="955"/>
      <c r="B25" s="994"/>
      <c r="C25" s="449"/>
      <c r="D25" s="459"/>
      <c r="E25" s="454">
        <f>H25+(I25*2)+(2*J25)</f>
        <v>2490</v>
      </c>
      <c r="F25" s="252"/>
      <c r="G25" s="427" t="s">
        <v>32</v>
      </c>
      <c r="H25" s="458">
        <f>(2300+50)-10-(2*VLOOKUP($C$24,$O$5:$S$11,4,FALSE))</f>
        <v>2322</v>
      </c>
      <c r="I25" s="459">
        <v>70</v>
      </c>
      <c r="J25" s="459">
        <f>VLOOKUP(C24,$O$5:$S$11,5,FALSE)</f>
        <v>14</v>
      </c>
      <c r="K25" s="461"/>
      <c r="L25" s="3"/>
      <c r="M25" s="20"/>
      <c r="N25" s="20"/>
      <c r="O25" s="225"/>
      <c r="P25" s="245"/>
      <c r="Q25" s="245"/>
      <c r="R25" s="245"/>
      <c r="S25" s="245"/>
      <c r="T25" s="245"/>
      <c r="U25" s="245"/>
      <c r="V25" s="940"/>
      <c r="W25" s="940"/>
    </row>
    <row r="26" spans="1:23" ht="37.5" customHeight="1" x14ac:dyDescent="0.25">
      <c r="A26" s="955"/>
      <c r="B26" s="995"/>
      <c r="C26" s="949" t="str">
        <f>CONCATENATE(M24," JUEGOS DE ",D24," VARS.")</f>
        <v>6 JUEGOS DE 24 VARS.</v>
      </c>
      <c r="D26" s="949"/>
      <c r="E26" s="993"/>
      <c r="F26" s="685"/>
      <c r="G26" s="427" t="s">
        <v>88</v>
      </c>
      <c r="H26" s="439">
        <f>(H24-H25)/(D24-1)</f>
        <v>9.6521739130434785</v>
      </c>
      <c r="I26" s="459"/>
      <c r="J26" s="459"/>
      <c r="K26" s="461"/>
      <c r="L26" s="3"/>
      <c r="M26" s="20"/>
      <c r="N26" s="20"/>
      <c r="O26" s="225"/>
      <c r="P26" s="245"/>
      <c r="Q26" s="245"/>
      <c r="R26" s="245"/>
      <c r="S26" s="245"/>
      <c r="T26" s="245"/>
      <c r="U26" s="245"/>
      <c r="V26" s="940"/>
      <c r="W26" s="940"/>
    </row>
    <row r="27" spans="1:23" ht="150" customHeight="1" x14ac:dyDescent="0.25">
      <c r="A27" s="955"/>
      <c r="B27" s="861" t="s">
        <v>47</v>
      </c>
      <c r="C27" s="459" t="s">
        <v>18</v>
      </c>
      <c r="D27" s="459">
        <f>153+156+159+162+165+167</f>
        <v>962</v>
      </c>
      <c r="E27" s="460">
        <f>((PI())*H27)+I27*2</f>
        <v>479.82297150257102</v>
      </c>
      <c r="F27" s="949"/>
      <c r="G27" s="949"/>
      <c r="H27" s="458">
        <f>150-(2*5)</f>
        <v>140</v>
      </c>
      <c r="I27" s="459">
        <v>20</v>
      </c>
      <c r="J27" s="459"/>
      <c r="K27" s="461">
        <f>(E27/100)*D27*VLOOKUP(C27,$O$5:$Q$11,3,FALSE)</f>
        <v>4597.4333979113135</v>
      </c>
      <c r="L27" s="243" t="s">
        <v>43</v>
      </c>
      <c r="M27" s="20"/>
      <c r="N27" s="20"/>
      <c r="O27" s="78"/>
      <c r="R27" s="20"/>
      <c r="V27" s="216"/>
    </row>
    <row r="28" spans="1:23" ht="15.75" thickBot="1" x14ac:dyDescent="0.3">
      <c r="A28" s="52"/>
      <c r="B28" s="151"/>
      <c r="C28" s="152"/>
      <c r="D28" s="152"/>
      <c r="E28" s="152"/>
      <c r="F28" s="153" t="s">
        <v>104</v>
      </c>
      <c r="G28" s="154"/>
      <c r="H28" s="155" t="s">
        <v>51</v>
      </c>
      <c r="I28" s="156"/>
      <c r="J28" s="157" t="s">
        <v>52</v>
      </c>
      <c r="K28" s="158"/>
    </row>
    <row r="29" spans="1:23" x14ac:dyDescent="0.25">
      <c r="A29" s="50"/>
      <c r="B29" s="962"/>
      <c r="C29" s="963"/>
      <c r="D29" s="963"/>
      <c r="E29" s="963"/>
      <c r="F29" s="187" t="s">
        <v>80</v>
      </c>
      <c r="G29" s="188"/>
      <c r="H29" s="189"/>
      <c r="I29" s="190"/>
      <c r="J29" s="118"/>
      <c r="K29" s="119"/>
    </row>
    <row r="30" spans="1:23" ht="15.75" thickBot="1" x14ac:dyDescent="0.3">
      <c r="A30" s="50"/>
      <c r="B30" s="928"/>
      <c r="C30" s="929"/>
      <c r="D30" s="929"/>
      <c r="E30" s="929"/>
      <c r="F30" s="180" t="s">
        <v>453</v>
      </c>
      <c r="G30" s="181"/>
      <c r="H30" s="176" t="s">
        <v>30</v>
      </c>
      <c r="I30" s="177"/>
      <c r="J30" s="652">
        <f>SUM(K24:K27)</f>
        <v>19541.738997911314</v>
      </c>
      <c r="K30" s="653"/>
      <c r="L30" s="92"/>
    </row>
    <row r="31" spans="1:23" x14ac:dyDescent="0.25">
      <c r="A31" s="50"/>
      <c r="B31" s="928"/>
      <c r="C31" s="929"/>
      <c r="D31" s="929"/>
      <c r="E31" s="929"/>
      <c r="F31" s="180" t="s">
        <v>103</v>
      </c>
      <c r="G31" s="181"/>
      <c r="H31" s="176" t="s">
        <v>30</v>
      </c>
      <c r="I31" s="177"/>
      <c r="J31" s="652">
        <f>SUM(K4:K17)</f>
        <v>6035.4434400000009</v>
      </c>
      <c r="K31" s="653"/>
      <c r="L31" s="92"/>
      <c r="M31" s="5" t="s">
        <v>186</v>
      </c>
      <c r="N31" s="6"/>
      <c r="O31" s="7"/>
    </row>
    <row r="32" spans="1:23" x14ac:dyDescent="0.25">
      <c r="A32" s="50"/>
      <c r="B32" s="928"/>
      <c r="C32" s="929"/>
      <c r="D32" s="929"/>
      <c r="E32" s="929"/>
      <c r="F32" s="180" t="s">
        <v>450</v>
      </c>
      <c r="G32" s="181"/>
      <c r="H32" s="176" t="s">
        <v>30</v>
      </c>
      <c r="I32" s="177"/>
      <c r="J32" s="652">
        <f>SUM(K18:K23)</f>
        <v>473.77727999999996</v>
      </c>
      <c r="K32" s="653"/>
      <c r="L32" s="92"/>
      <c r="M32" s="54"/>
      <c r="N32" s="2"/>
      <c r="O32" s="50"/>
    </row>
    <row r="33" spans="1:16" x14ac:dyDescent="0.25">
      <c r="A33" s="50"/>
      <c r="B33" s="964"/>
      <c r="C33" s="965"/>
      <c r="D33" s="965"/>
      <c r="E33" s="965"/>
      <c r="F33" s="178" t="s">
        <v>114</v>
      </c>
      <c r="G33" s="179"/>
      <c r="H33" s="176"/>
      <c r="I33" s="177"/>
      <c r="J33" s="185"/>
      <c r="K33" s="186"/>
      <c r="L33" s="92"/>
      <c r="M33" s="945" t="s">
        <v>184</v>
      </c>
      <c r="N33" s="946"/>
      <c r="O33" s="135">
        <f>J31+J32</f>
        <v>6509.2207200000012</v>
      </c>
      <c r="P33" s="92" t="s">
        <v>43</v>
      </c>
    </row>
    <row r="34" spans="1:16" x14ac:dyDescent="0.25">
      <c r="A34" s="51"/>
      <c r="B34" s="928"/>
      <c r="C34" s="929"/>
      <c r="D34" s="929"/>
      <c r="E34" s="929"/>
      <c r="F34" s="180" t="s">
        <v>455</v>
      </c>
      <c r="G34" s="181"/>
      <c r="H34" s="176" t="s">
        <v>29</v>
      </c>
      <c r="I34" s="177"/>
      <c r="J34" s="185">
        <f>G50</f>
        <v>256.04176476297664</v>
      </c>
      <c r="K34" s="186"/>
      <c r="L34" s="92"/>
      <c r="M34" s="945" t="s">
        <v>182</v>
      </c>
      <c r="N34" s="946"/>
      <c r="O34" s="135">
        <f>J30</f>
        <v>19541.738997911314</v>
      </c>
      <c r="P34" s="92" t="s">
        <v>43</v>
      </c>
    </row>
    <row r="35" spans="1:16" x14ac:dyDescent="0.25">
      <c r="A35" s="51"/>
      <c r="B35" s="928"/>
      <c r="C35" s="929"/>
      <c r="D35" s="929"/>
      <c r="E35" s="929"/>
      <c r="F35" s="180" t="s">
        <v>103</v>
      </c>
      <c r="G35" s="181"/>
      <c r="H35" s="176" t="s">
        <v>29</v>
      </c>
      <c r="I35" s="177"/>
      <c r="J35" s="185">
        <f>SUM(F64:F69)</f>
        <v>61.020299000000001</v>
      </c>
      <c r="K35" s="186"/>
      <c r="L35" s="92"/>
      <c r="M35" s="305"/>
      <c r="N35" s="306"/>
      <c r="O35" s="50"/>
    </row>
    <row r="36" spans="1:16" x14ac:dyDescent="0.25">
      <c r="A36" s="51"/>
      <c r="B36" s="928"/>
      <c r="C36" s="929"/>
      <c r="D36" s="929"/>
      <c r="E36" s="929"/>
      <c r="F36" s="180" t="s">
        <v>454</v>
      </c>
      <c r="G36" s="181"/>
      <c r="H36" s="176" t="s">
        <v>29</v>
      </c>
      <c r="I36" s="177"/>
      <c r="J36" s="185">
        <f>SUM(F70:F74)</f>
        <v>1.4695499999999999</v>
      </c>
      <c r="K36" s="186"/>
      <c r="L36" s="92"/>
      <c r="M36" s="945" t="s">
        <v>185</v>
      </c>
      <c r="N36" s="946"/>
      <c r="O36" s="135">
        <f>J35+J36</f>
        <v>62.489849</v>
      </c>
      <c r="P36" s="92" t="s">
        <v>43</v>
      </c>
    </row>
    <row r="37" spans="1:16" ht="15.75" thickBot="1" x14ac:dyDescent="0.3">
      <c r="A37" s="51"/>
      <c r="B37" s="956"/>
      <c r="C37" s="957"/>
      <c r="D37" s="957"/>
      <c r="E37" s="957"/>
      <c r="F37" s="666" t="s">
        <v>105</v>
      </c>
      <c r="G37" s="184"/>
      <c r="H37" s="182" t="s">
        <v>29</v>
      </c>
      <c r="I37" s="183"/>
      <c r="J37" s="191">
        <f>G56</f>
        <v>199.38706824630168</v>
      </c>
      <c r="K37" s="192"/>
      <c r="L37" s="92"/>
      <c r="M37" s="947" t="s">
        <v>183</v>
      </c>
      <c r="N37" s="948"/>
      <c r="O37" s="137">
        <f>J34</f>
        <v>256.04176476297664</v>
      </c>
      <c r="P37" s="92" t="s">
        <v>43</v>
      </c>
    </row>
    <row r="40" spans="1:16" ht="15.75" thickBot="1" x14ac:dyDescent="0.3">
      <c r="F40" s="2"/>
      <c r="G40" s="2"/>
    </row>
    <row r="41" spans="1:16" ht="15.75" thickBot="1" x14ac:dyDescent="0.3">
      <c r="F41" s="958" t="s">
        <v>126</v>
      </c>
      <c r="G41" s="958"/>
      <c r="H41" s="959" t="s">
        <v>29</v>
      </c>
      <c r="I41" s="960"/>
      <c r="J41" s="933">
        <f>(J30+J31+J32)/J42</f>
        <v>3.3185935946383842</v>
      </c>
      <c r="K41" s="934"/>
      <c r="L41" s="92"/>
    </row>
    <row r="42" spans="1:16" ht="15.75" thickBot="1" x14ac:dyDescent="0.3">
      <c r="F42" s="961" t="s">
        <v>127</v>
      </c>
      <c r="G42" s="961"/>
      <c r="H42" s="931" t="s">
        <v>128</v>
      </c>
      <c r="I42" s="932"/>
      <c r="J42" s="933">
        <v>7850</v>
      </c>
      <c r="K42" s="934"/>
      <c r="L42" s="92"/>
    </row>
    <row r="43" spans="1:16" ht="15.75" thickBot="1" x14ac:dyDescent="0.3">
      <c r="F43" s="961" t="s">
        <v>134</v>
      </c>
      <c r="G43" s="958"/>
      <c r="H43" s="959" t="s">
        <v>29</v>
      </c>
      <c r="I43" s="960"/>
      <c r="J43" s="933">
        <f>J34+J35+J36-J41</f>
        <v>315.21302016833829</v>
      </c>
      <c r="K43" s="934"/>
    </row>
    <row r="44" spans="1:16" x14ac:dyDescent="0.25">
      <c r="K44" s="100"/>
    </row>
    <row r="49" spans="2:12" ht="15.75" thickBot="1" x14ac:dyDescent="0.3">
      <c r="B49" s="82"/>
      <c r="C49" s="82" t="s">
        <v>169</v>
      </c>
      <c r="D49" s="82" t="s">
        <v>40</v>
      </c>
      <c r="E49" s="82" t="s">
        <v>39</v>
      </c>
      <c r="F49" s="82" t="s">
        <v>318</v>
      </c>
      <c r="G49" s="302" t="s">
        <v>152</v>
      </c>
    </row>
    <row r="50" spans="2:12" x14ac:dyDescent="0.25">
      <c r="B50" s="1" t="s">
        <v>360</v>
      </c>
      <c r="C50" s="294">
        <v>0.75</v>
      </c>
      <c r="D50" s="295">
        <f t="shared" ref="D50:D61" si="5">PI()*(C50^2)</f>
        <v>1.7671458676442586</v>
      </c>
      <c r="E50" s="296">
        <v>23</v>
      </c>
      <c r="F50" s="297">
        <f t="shared" ref="F50:F61" si="6">D50*E50</f>
        <v>40.644354955817946</v>
      </c>
      <c r="G50" s="941">
        <f>SUM(F50:F55)</f>
        <v>256.04176476297664</v>
      </c>
      <c r="H50" s="925" t="s">
        <v>43</v>
      </c>
      <c r="I50" s="930" t="s">
        <v>372</v>
      </c>
      <c r="J50" s="930"/>
    </row>
    <row r="51" spans="2:12" x14ac:dyDescent="0.25">
      <c r="B51" s="1" t="s">
        <v>361</v>
      </c>
      <c r="C51" s="1">
        <v>0.75</v>
      </c>
      <c r="D51" s="77">
        <f>PI()*(C51^2)</f>
        <v>1.7671458676442586</v>
      </c>
      <c r="E51" s="83">
        <v>23.48</v>
      </c>
      <c r="F51" s="298">
        <f t="shared" si="6"/>
        <v>41.49258497228719</v>
      </c>
      <c r="G51" s="942"/>
      <c r="H51" s="925"/>
      <c r="I51" s="930"/>
      <c r="J51" s="930"/>
    </row>
    <row r="52" spans="2:12" x14ac:dyDescent="0.25">
      <c r="B52" s="1" t="s">
        <v>362</v>
      </c>
      <c r="C52" s="1">
        <v>0.75</v>
      </c>
      <c r="D52" s="77">
        <f>PI()*(C52^2)</f>
        <v>1.7671458676442586</v>
      </c>
      <c r="E52" s="83">
        <v>23.95</v>
      </c>
      <c r="F52" s="298">
        <f t="shared" si="6"/>
        <v>42.323143530079996</v>
      </c>
      <c r="G52" s="942"/>
      <c r="H52" s="925"/>
      <c r="I52" s="930"/>
      <c r="J52" s="930"/>
    </row>
    <row r="53" spans="2:12" x14ac:dyDescent="0.25">
      <c r="B53" s="1" t="s">
        <v>363</v>
      </c>
      <c r="C53" s="1">
        <v>0.75</v>
      </c>
      <c r="D53" s="77">
        <f>PI()*(C53^2)</f>
        <v>1.7671458676442586</v>
      </c>
      <c r="E53" s="83">
        <v>24.42</v>
      </c>
      <c r="F53" s="298">
        <f t="shared" si="6"/>
        <v>43.153702087872801</v>
      </c>
      <c r="G53" s="942"/>
      <c r="H53" s="925"/>
      <c r="I53" s="930"/>
      <c r="J53" s="930"/>
      <c r="K53" s="944"/>
      <c r="L53" s="944"/>
    </row>
    <row r="54" spans="2:12" x14ac:dyDescent="0.25">
      <c r="B54" s="1" t="s">
        <v>364</v>
      </c>
      <c r="C54" s="1">
        <v>0.75</v>
      </c>
      <c r="D54" s="77">
        <f>PI()*(C54^2)</f>
        <v>1.7671458676442586</v>
      </c>
      <c r="E54" s="83">
        <v>24.82</v>
      </c>
      <c r="F54" s="298">
        <f t="shared" si="6"/>
        <v>43.860560434930498</v>
      </c>
      <c r="G54" s="942"/>
      <c r="H54" s="925"/>
      <c r="I54" s="930"/>
      <c r="J54" s="930"/>
    </row>
    <row r="55" spans="2:12" ht="15.75" thickBot="1" x14ac:dyDescent="0.3">
      <c r="B55" s="1" t="s">
        <v>365</v>
      </c>
      <c r="C55" s="138">
        <v>0.75</v>
      </c>
      <c r="D55" s="299">
        <f>PI()*(C55^2)</f>
        <v>1.7671458676442586</v>
      </c>
      <c r="E55" s="300">
        <v>25.22</v>
      </c>
      <c r="F55" s="301">
        <f t="shared" si="6"/>
        <v>44.567418781988202</v>
      </c>
      <c r="G55" s="943"/>
      <c r="H55" s="925"/>
      <c r="I55" s="930"/>
      <c r="J55" s="930"/>
    </row>
    <row r="56" spans="2:12" x14ac:dyDescent="0.25">
      <c r="B56" s="580" t="s">
        <v>366</v>
      </c>
      <c r="C56" s="294">
        <v>0.75</v>
      </c>
      <c r="D56" s="295">
        <f t="shared" si="5"/>
        <v>1.7671458676442586</v>
      </c>
      <c r="E56" s="296">
        <v>18.670000000000002</v>
      </c>
      <c r="F56" s="297">
        <f t="shared" si="6"/>
        <v>32.992613348918312</v>
      </c>
      <c r="G56" s="566">
        <f>SUM(F56:F61)</f>
        <v>199.38706824630168</v>
      </c>
      <c r="H56" s="925" t="s">
        <v>43</v>
      </c>
      <c r="I56" s="930" t="s">
        <v>373</v>
      </c>
      <c r="J56" s="930"/>
    </row>
    <row r="57" spans="2:12" x14ac:dyDescent="0.25">
      <c r="B57" s="4" t="s">
        <v>367</v>
      </c>
      <c r="C57" s="1">
        <v>0.75</v>
      </c>
      <c r="D57" s="77">
        <f t="shared" si="5"/>
        <v>1.7671458676442586</v>
      </c>
      <c r="E57" s="83">
        <v>18.68</v>
      </c>
      <c r="F57" s="298">
        <f t="shared" si="6"/>
        <v>33.010284807594751</v>
      </c>
      <c r="G57" s="567"/>
      <c r="H57" s="925"/>
      <c r="I57" s="930"/>
      <c r="J57" s="930"/>
    </row>
    <row r="58" spans="2:12" x14ac:dyDescent="0.25">
      <c r="B58" s="4" t="s">
        <v>368</v>
      </c>
      <c r="C58" s="1">
        <v>0.75</v>
      </c>
      <c r="D58" s="77">
        <f t="shared" si="5"/>
        <v>1.7671458676442586</v>
      </c>
      <c r="E58" s="83">
        <v>18.78</v>
      </c>
      <c r="F58" s="298">
        <f t="shared" si="6"/>
        <v>33.186999394359177</v>
      </c>
      <c r="G58" s="567"/>
      <c r="H58" s="925"/>
      <c r="I58" s="930"/>
      <c r="J58" s="930"/>
    </row>
    <row r="59" spans="2:12" x14ac:dyDescent="0.25">
      <c r="B59" s="4" t="s">
        <v>369</v>
      </c>
      <c r="C59" s="1">
        <v>0.75</v>
      </c>
      <c r="D59" s="77">
        <f t="shared" si="5"/>
        <v>1.7671458676442586</v>
      </c>
      <c r="E59" s="83">
        <v>18.899999999999999</v>
      </c>
      <c r="F59" s="298">
        <f t="shared" si="6"/>
        <v>33.399056898476488</v>
      </c>
      <c r="G59" s="567"/>
      <c r="H59" s="925"/>
      <c r="I59" s="930"/>
      <c r="J59" s="930"/>
    </row>
    <row r="60" spans="2:12" x14ac:dyDescent="0.25">
      <c r="B60" s="4" t="s">
        <v>370</v>
      </c>
      <c r="C60" s="1">
        <v>0.75</v>
      </c>
      <c r="D60" s="77">
        <f t="shared" si="5"/>
        <v>1.7671458676442586</v>
      </c>
      <c r="E60" s="83">
        <v>18.899999999999999</v>
      </c>
      <c r="F60" s="298">
        <f t="shared" si="6"/>
        <v>33.399056898476488</v>
      </c>
      <c r="G60" s="567"/>
      <c r="H60" s="925"/>
      <c r="I60" s="930"/>
      <c r="J60" s="930"/>
    </row>
    <row r="61" spans="2:12" ht="15.75" thickBot="1" x14ac:dyDescent="0.3">
      <c r="B61" s="4" t="s">
        <v>371</v>
      </c>
      <c r="C61" s="138">
        <v>0.75</v>
      </c>
      <c r="D61" s="299">
        <f t="shared" si="5"/>
        <v>1.7671458676442586</v>
      </c>
      <c r="E61" s="300">
        <v>18.899999999999999</v>
      </c>
      <c r="F61" s="301">
        <f t="shared" si="6"/>
        <v>33.399056898476488</v>
      </c>
      <c r="G61" s="568"/>
      <c r="H61" s="925"/>
      <c r="I61" s="930"/>
      <c r="J61" s="930"/>
    </row>
    <row r="63" spans="2:12" ht="22.5" customHeight="1" thickBot="1" x14ac:dyDescent="0.3">
      <c r="B63" s="1000"/>
      <c r="C63" s="1000"/>
      <c r="D63" s="319" t="s">
        <v>40</v>
      </c>
      <c r="E63" s="319" t="s">
        <v>42</v>
      </c>
      <c r="F63" s="319" t="s">
        <v>319</v>
      </c>
    </row>
    <row r="64" spans="2:12" ht="22.5" customHeight="1" x14ac:dyDescent="0.25">
      <c r="B64" s="935" t="s">
        <v>322</v>
      </c>
      <c r="C64" s="936"/>
      <c r="D64" s="320">
        <f>1.5*1.2</f>
        <v>1.7999999999999998</v>
      </c>
      <c r="E64" s="320">
        <v>11.91</v>
      </c>
      <c r="F64" s="313">
        <f t="shared" ref="F64:F73" si="7">D64*E64</f>
        <v>21.437999999999999</v>
      </c>
      <c r="G64" s="1005">
        <f>F64+F65</f>
        <v>42.641999999999996</v>
      </c>
      <c r="H64" s="925" t="s">
        <v>43</v>
      </c>
    </row>
    <row r="65" spans="2:11" ht="22.5" customHeight="1" thickBot="1" x14ac:dyDescent="0.3">
      <c r="B65" s="937" t="s">
        <v>323</v>
      </c>
      <c r="C65" s="938"/>
      <c r="D65" s="321">
        <v>1.8</v>
      </c>
      <c r="E65" s="321">
        <v>11.78</v>
      </c>
      <c r="F65" s="314">
        <f t="shared" si="7"/>
        <v>21.204000000000001</v>
      </c>
      <c r="G65" s="1006"/>
      <c r="H65" s="925"/>
    </row>
    <row r="66" spans="2:11" ht="22.5" customHeight="1" x14ac:dyDescent="0.25">
      <c r="B66" s="984" t="s">
        <v>324</v>
      </c>
      <c r="C66" s="984"/>
      <c r="D66" s="315">
        <f>2.22*11.83</f>
        <v>26.262600000000003</v>
      </c>
      <c r="E66" s="315">
        <v>0.31</v>
      </c>
      <c r="F66" s="316">
        <f t="shared" si="7"/>
        <v>8.1414059999999999</v>
      </c>
      <c r="G66" s="92" t="s">
        <v>43</v>
      </c>
    </row>
    <row r="67" spans="2:11" ht="22.5" customHeight="1" x14ac:dyDescent="0.25">
      <c r="B67" s="985" t="s">
        <v>328</v>
      </c>
      <c r="C67" s="985"/>
      <c r="D67" s="310">
        <v>25.380299999999998</v>
      </c>
      <c r="E67" s="310">
        <v>0.31</v>
      </c>
      <c r="F67" s="316">
        <f t="shared" si="7"/>
        <v>7.8678929999999996</v>
      </c>
      <c r="G67" s="92" t="s">
        <v>43</v>
      </c>
    </row>
    <row r="68" spans="2:11" ht="22.5" customHeight="1" x14ac:dyDescent="0.25">
      <c r="B68" s="988" t="s">
        <v>325</v>
      </c>
      <c r="C68" s="989"/>
      <c r="D68" s="317">
        <v>0.1</v>
      </c>
      <c r="E68" s="317">
        <v>11.91</v>
      </c>
      <c r="F68" s="318">
        <f t="shared" si="7"/>
        <v>1.1910000000000001</v>
      </c>
      <c r="G68" s="92" t="s">
        <v>43</v>
      </c>
      <c r="J68" s="255"/>
    </row>
    <row r="69" spans="2:11" ht="22.5" customHeight="1" x14ac:dyDescent="0.25">
      <c r="B69" s="986" t="s">
        <v>329</v>
      </c>
      <c r="C69" s="987"/>
      <c r="D69" s="310">
        <v>0.1</v>
      </c>
      <c r="E69" s="310">
        <v>11.78</v>
      </c>
      <c r="F69" s="318">
        <f t="shared" si="7"/>
        <v>1.1779999999999999</v>
      </c>
      <c r="G69" s="92" t="s">
        <v>43</v>
      </c>
      <c r="J69" s="255"/>
    </row>
    <row r="70" spans="2:11" ht="22.5" customHeight="1" x14ac:dyDescent="0.25">
      <c r="B70" s="988" t="s">
        <v>326</v>
      </c>
      <c r="C70" s="989"/>
      <c r="D70" s="317">
        <v>0.29699999999999999</v>
      </c>
      <c r="E70" s="317">
        <v>0.65</v>
      </c>
      <c r="F70" s="318">
        <f t="shared" si="7"/>
        <v>0.19305</v>
      </c>
      <c r="G70" s="92" t="s">
        <v>43</v>
      </c>
    </row>
    <row r="71" spans="2:11" ht="22.5" customHeight="1" x14ac:dyDescent="0.25">
      <c r="B71" s="986" t="s">
        <v>327</v>
      </c>
      <c r="C71" s="987"/>
      <c r="D71" s="310">
        <v>0.21</v>
      </c>
      <c r="E71" s="310">
        <v>0.5</v>
      </c>
      <c r="F71" s="318">
        <f t="shared" si="7"/>
        <v>0.105</v>
      </c>
      <c r="G71" s="92" t="s">
        <v>43</v>
      </c>
      <c r="K71" s="255">
        <f>0.7*0.8275</f>
        <v>0.57924999999999993</v>
      </c>
    </row>
    <row r="72" spans="2:11" ht="22.5" customHeight="1" x14ac:dyDescent="0.25">
      <c r="B72" s="988" t="s">
        <v>330</v>
      </c>
      <c r="C72" s="989"/>
      <c r="D72" s="317">
        <v>0.3</v>
      </c>
      <c r="E72" s="317">
        <v>0.65</v>
      </c>
      <c r="F72" s="318">
        <f t="shared" si="7"/>
        <v>0.19500000000000001</v>
      </c>
      <c r="G72" s="92" t="s">
        <v>43</v>
      </c>
    </row>
    <row r="73" spans="2:11" ht="22.5" customHeight="1" thickBot="1" x14ac:dyDescent="0.3">
      <c r="B73" s="986" t="s">
        <v>331</v>
      </c>
      <c r="C73" s="987"/>
      <c r="D73" s="310">
        <v>0.21</v>
      </c>
      <c r="E73" s="310">
        <v>0.5</v>
      </c>
      <c r="F73" s="318">
        <f t="shared" si="7"/>
        <v>0.105</v>
      </c>
      <c r="G73" s="92" t="s">
        <v>43</v>
      </c>
    </row>
    <row r="74" spans="2:11" ht="22.5" customHeight="1" thickBot="1" x14ac:dyDescent="0.3">
      <c r="B74" s="1001" t="s">
        <v>313</v>
      </c>
      <c r="C74" s="1001"/>
      <c r="D74" s="317">
        <f>0.7*0.83</f>
        <v>0.58099999999999996</v>
      </c>
      <c r="E74" s="317">
        <v>0.15</v>
      </c>
      <c r="F74" s="318">
        <f>D74*E74*J74</f>
        <v>0.87149999999999994</v>
      </c>
      <c r="G74" s="92" t="s">
        <v>43</v>
      </c>
      <c r="H74" s="256" t="s">
        <v>279</v>
      </c>
      <c r="I74" s="256"/>
      <c r="J74" s="303">
        <v>10</v>
      </c>
    </row>
    <row r="75" spans="2:11" ht="22.5" customHeight="1" x14ac:dyDescent="0.25">
      <c r="B75" s="997" t="s">
        <v>144</v>
      </c>
      <c r="C75" s="997"/>
      <c r="D75" s="581">
        <v>0</v>
      </c>
      <c r="E75" s="581">
        <v>0</v>
      </c>
      <c r="F75" s="582">
        <f>(D75*E75)*2</f>
        <v>0</v>
      </c>
      <c r="G75" s="92"/>
    </row>
    <row r="76" spans="2:11" ht="22.5" customHeight="1" x14ac:dyDescent="0.25">
      <c r="B76" s="998" t="s">
        <v>317</v>
      </c>
      <c r="C76" s="999"/>
      <c r="D76" s="583">
        <v>0</v>
      </c>
      <c r="E76" s="583">
        <v>0</v>
      </c>
      <c r="F76" s="582">
        <f>(D76*E76)*2</f>
        <v>0</v>
      </c>
      <c r="G76" s="92"/>
    </row>
    <row r="77" spans="2:11" ht="22.5" customHeight="1" x14ac:dyDescent="0.25">
      <c r="B77" s="1002" t="s">
        <v>152</v>
      </c>
      <c r="C77" s="1003"/>
      <c r="D77" s="1003"/>
      <c r="E77" s="1004"/>
      <c r="F77" s="304">
        <f>SUM(F66:F76)</f>
        <v>19.847849</v>
      </c>
      <c r="G77" s="92"/>
    </row>
    <row r="79" spans="2:11" x14ac:dyDescent="0.25">
      <c r="G79" t="s">
        <v>150</v>
      </c>
    </row>
    <row r="80" spans="2:11" x14ac:dyDescent="0.25">
      <c r="B80" s="996" t="s">
        <v>175</v>
      </c>
      <c r="C80" s="996"/>
      <c r="D80" s="1" t="s">
        <v>40</v>
      </c>
      <c r="E80" s="1" t="s">
        <v>39</v>
      </c>
      <c r="F80" s="1" t="s">
        <v>85</v>
      </c>
      <c r="G80" s="9" t="s">
        <v>315</v>
      </c>
      <c r="H80" s="9" t="str">
        <f>CONCATENATE(J80," pzas")</f>
        <v>10 pzas</v>
      </c>
      <c r="I80" s="22" t="s">
        <v>316</v>
      </c>
      <c r="J80" s="307">
        <v>10</v>
      </c>
      <c r="K80" s="1" t="s">
        <v>247</v>
      </c>
    </row>
    <row r="81" spans="2:11" x14ac:dyDescent="0.25">
      <c r="B81" s="996" t="s">
        <v>314</v>
      </c>
      <c r="C81" s="996"/>
      <c r="D81" s="1">
        <f>0.4*0.5</f>
        <v>0.2</v>
      </c>
      <c r="E81" s="1">
        <v>5.7000000000000002E-2</v>
      </c>
      <c r="F81" s="257">
        <f>D81*E81</f>
        <v>1.14E-2</v>
      </c>
      <c r="G81" s="312">
        <f>F81*1000</f>
        <v>11.4</v>
      </c>
      <c r="H81" s="312">
        <f>G81*J80</f>
        <v>114</v>
      </c>
      <c r="I81" s="311" t="s">
        <v>87</v>
      </c>
      <c r="J81" s="308"/>
    </row>
    <row r="82" spans="2:11" x14ac:dyDescent="0.25">
      <c r="B82" s="996" t="s">
        <v>174</v>
      </c>
      <c r="C82" s="996"/>
      <c r="D82" s="1">
        <f>0.4*0.5</f>
        <v>0.2</v>
      </c>
      <c r="E82" s="76">
        <v>1.2999999999999999E-2</v>
      </c>
      <c r="F82" s="257">
        <f>D82*E82</f>
        <v>2.5999999999999999E-3</v>
      </c>
      <c r="G82" s="312">
        <f>(F82*7850)*4</f>
        <v>81.64</v>
      </c>
      <c r="H82" s="312">
        <f>G82*J80</f>
        <v>816.4</v>
      </c>
      <c r="I82" s="311" t="s">
        <v>87</v>
      </c>
      <c r="J82" s="308"/>
    </row>
    <row r="83" spans="2:11" x14ac:dyDescent="0.25">
      <c r="G83" s="20"/>
      <c r="H83" s="20"/>
      <c r="I83" s="20"/>
      <c r="J83" s="20"/>
    </row>
    <row r="84" spans="2:11" x14ac:dyDescent="0.25">
      <c r="G84" s="20"/>
      <c r="H84" s="20"/>
      <c r="I84" s="20"/>
      <c r="J84" s="20"/>
    </row>
    <row r="85" spans="2:11" x14ac:dyDescent="0.25">
      <c r="B85" s="996" t="s">
        <v>178</v>
      </c>
      <c r="C85" s="996"/>
      <c r="D85" s="1" t="s">
        <v>40</v>
      </c>
      <c r="E85" s="1" t="s">
        <v>39</v>
      </c>
      <c r="F85" s="1" t="s">
        <v>173</v>
      </c>
      <c r="G85" s="9" t="s">
        <v>320</v>
      </c>
      <c r="H85" s="9" t="str">
        <f>CONCATENATE(J85," pzas")</f>
        <v>4 pzas</v>
      </c>
      <c r="I85" s="22" t="s">
        <v>316</v>
      </c>
      <c r="J85" s="307">
        <v>4</v>
      </c>
      <c r="K85" s="1" t="s">
        <v>332</v>
      </c>
    </row>
    <row r="86" spans="2:11" x14ac:dyDescent="0.25">
      <c r="B86" s="996" t="s">
        <v>176</v>
      </c>
      <c r="C86" s="996"/>
      <c r="D86" s="1">
        <f>0.3*0.35</f>
        <v>0.105</v>
      </c>
      <c r="E86" s="1">
        <v>2.5000000000000001E-2</v>
      </c>
      <c r="F86" s="74">
        <f>D86*E86</f>
        <v>2.6250000000000002E-3</v>
      </c>
      <c r="G86" s="312">
        <f>F86*1000</f>
        <v>2.625</v>
      </c>
      <c r="H86" s="312">
        <f>G86*J85</f>
        <v>10.5</v>
      </c>
      <c r="I86" s="311" t="s">
        <v>87</v>
      </c>
      <c r="J86" s="92"/>
    </row>
    <row r="87" spans="2:11" x14ac:dyDescent="0.25">
      <c r="B87" s="996" t="s">
        <v>174</v>
      </c>
      <c r="C87" s="996"/>
      <c r="D87" s="1">
        <f>0.3*0.35</f>
        <v>0.105</v>
      </c>
      <c r="E87" s="76">
        <v>1.2999999999999999E-2</v>
      </c>
      <c r="F87" s="77">
        <f>D87*E87</f>
        <v>1.3649999999999999E-3</v>
      </c>
      <c r="G87" s="312">
        <f>(F87*7850)*2</f>
        <v>21.430499999999999</v>
      </c>
      <c r="H87" s="312">
        <f>G87*J85</f>
        <v>85.721999999999994</v>
      </c>
      <c r="I87" s="311" t="s">
        <v>87</v>
      </c>
      <c r="J87" s="92"/>
    </row>
    <row r="88" spans="2:11" ht="15.75" thickBot="1" x14ac:dyDescent="0.3"/>
    <row r="89" spans="2:11" ht="15.75" thickBot="1" x14ac:dyDescent="0.3">
      <c r="F89" s="950" t="s">
        <v>179</v>
      </c>
      <c r="G89" s="951"/>
      <c r="H89" s="309">
        <f>H86+H81</f>
        <v>124.5</v>
      </c>
      <c r="I89" s="247" t="s">
        <v>87</v>
      </c>
      <c r="J89" s="92"/>
    </row>
  </sheetData>
  <mergeCells count="70">
    <mergeCell ref="B85:C85"/>
    <mergeCell ref="B86:C86"/>
    <mergeCell ref="B87:C87"/>
    <mergeCell ref="F43:G43"/>
    <mergeCell ref="B69:C69"/>
    <mergeCell ref="B70:C70"/>
    <mergeCell ref="B71:C71"/>
    <mergeCell ref="B75:C75"/>
    <mergeCell ref="B76:C76"/>
    <mergeCell ref="B63:C63"/>
    <mergeCell ref="B82:C82"/>
    <mergeCell ref="B74:C74"/>
    <mergeCell ref="B80:C80"/>
    <mergeCell ref="B81:C81"/>
    <mergeCell ref="B77:E77"/>
    <mergeCell ref="G64:G65"/>
    <mergeCell ref="B66:C66"/>
    <mergeCell ref="B67:C67"/>
    <mergeCell ref="B73:C73"/>
    <mergeCell ref="B68:C68"/>
    <mergeCell ref="A18:A20"/>
    <mergeCell ref="B31:E31"/>
    <mergeCell ref="B72:C72"/>
    <mergeCell ref="C26:E26"/>
    <mergeCell ref="B24:B26"/>
    <mergeCell ref="L16:L17"/>
    <mergeCell ref="F20:G20"/>
    <mergeCell ref="A1:K1"/>
    <mergeCell ref="F3:G3"/>
    <mergeCell ref="A4:A11"/>
    <mergeCell ref="F4:G6"/>
    <mergeCell ref="A12:A17"/>
    <mergeCell ref="F12:F13"/>
    <mergeCell ref="F14:F15"/>
    <mergeCell ref="F16:G17"/>
    <mergeCell ref="F89:G89"/>
    <mergeCell ref="M34:N34"/>
    <mergeCell ref="A21:A23"/>
    <mergeCell ref="A24:A27"/>
    <mergeCell ref="B37:E37"/>
    <mergeCell ref="F41:G41"/>
    <mergeCell ref="H41:I41"/>
    <mergeCell ref="J41:K41"/>
    <mergeCell ref="F42:G42"/>
    <mergeCell ref="H43:I43"/>
    <mergeCell ref="J43:K43"/>
    <mergeCell ref="B29:E29"/>
    <mergeCell ref="B30:E30"/>
    <mergeCell ref="B32:E32"/>
    <mergeCell ref="B33:E33"/>
    <mergeCell ref="V24:V26"/>
    <mergeCell ref="W24:W26"/>
    <mergeCell ref="G50:G55"/>
    <mergeCell ref="K53:L53"/>
    <mergeCell ref="H50:H55"/>
    <mergeCell ref="I50:J55"/>
    <mergeCell ref="M36:N36"/>
    <mergeCell ref="M33:N33"/>
    <mergeCell ref="M37:N37"/>
    <mergeCell ref="F27:G27"/>
    <mergeCell ref="H64:H65"/>
    <mergeCell ref="B36:E36"/>
    <mergeCell ref="B34:E34"/>
    <mergeCell ref="B35:E35"/>
    <mergeCell ref="I56:J61"/>
    <mergeCell ref="H56:H61"/>
    <mergeCell ref="H42:I42"/>
    <mergeCell ref="J42:K42"/>
    <mergeCell ref="B64:C64"/>
    <mergeCell ref="B65:C65"/>
  </mergeCells>
  <pageMargins left="0.7" right="0.7" top="0.75" bottom="0.75" header="0.3" footer="0.3"/>
  <pageSetup orientation="portrait" r:id="rId1"/>
  <ignoredErrors>
    <ignoredError sqref="H9 I23" formula="1"/>
  </ignoredErrors>
  <drawing r:id="rId2"/>
  <legacyDrawing r:id="rId3"/>
  <oleObjects>
    <mc:AlternateContent xmlns:mc="http://schemas.openxmlformats.org/markup-compatibility/2006">
      <mc:Choice Requires="x14">
        <oleObject progId="AutoCAD.Drawing.19" shapeId="92162" r:id="rId4">
          <objectPr defaultSize="0" autoPict="0" r:id="rId5">
            <anchor moveWithCells="1">
              <from>
                <xdr:col>5</xdr:col>
                <xdr:colOff>723900</xdr:colOff>
                <xdr:row>26</xdr:row>
                <xdr:rowOff>38100</xdr:rowOff>
              </from>
              <to>
                <xdr:col>6</xdr:col>
                <xdr:colOff>28575</xdr:colOff>
                <xdr:row>26</xdr:row>
                <xdr:rowOff>1895475</xdr:rowOff>
              </to>
            </anchor>
          </objectPr>
        </oleObject>
      </mc:Choice>
      <mc:Fallback>
        <oleObject progId="AutoCAD.Drawing.19" shapeId="92162" r:id="rId4"/>
      </mc:Fallback>
    </mc:AlternateContent>
    <mc:AlternateContent xmlns:mc="http://schemas.openxmlformats.org/markup-compatibility/2006">
      <mc:Choice Requires="x14">
        <oleObject progId="AutoCAD.Drawing.19" shapeId="92163" r:id="rId6">
          <objectPr defaultSize="0" autoPict="0" r:id="rId7">
            <anchor moveWithCells="1">
              <from>
                <xdr:col>5</xdr:col>
                <xdr:colOff>238125</xdr:colOff>
                <xdr:row>3</xdr:row>
                <xdr:rowOff>171450</xdr:rowOff>
              </from>
              <to>
                <xdr:col>6</xdr:col>
                <xdr:colOff>266700</xdr:colOff>
                <xdr:row>6</xdr:row>
                <xdr:rowOff>266700</xdr:rowOff>
              </to>
            </anchor>
          </objectPr>
        </oleObject>
      </mc:Choice>
      <mc:Fallback>
        <oleObject progId="AutoCAD.Drawing.19" shapeId="92163" r:id="rId6"/>
      </mc:Fallback>
    </mc:AlternateContent>
    <mc:AlternateContent xmlns:mc="http://schemas.openxmlformats.org/markup-compatibility/2006">
      <mc:Choice Requires="x14">
        <oleObject progId="AutoCAD.Drawing.19" shapeId="92164" r:id="rId8">
          <objectPr defaultSize="0" autoPict="0" r:id="rId9">
            <anchor moveWithCells="1">
              <from>
                <xdr:col>5</xdr:col>
                <xdr:colOff>676275</xdr:colOff>
                <xdr:row>6</xdr:row>
                <xdr:rowOff>209550</xdr:rowOff>
              </from>
              <to>
                <xdr:col>5</xdr:col>
                <xdr:colOff>2771775</xdr:colOff>
                <xdr:row>11</xdr:row>
                <xdr:rowOff>47625</xdr:rowOff>
              </to>
            </anchor>
          </objectPr>
        </oleObject>
      </mc:Choice>
      <mc:Fallback>
        <oleObject progId="AutoCAD.Drawing.19" shapeId="92164" r:id="rId8"/>
      </mc:Fallback>
    </mc:AlternateContent>
    <mc:AlternateContent xmlns:mc="http://schemas.openxmlformats.org/markup-compatibility/2006">
      <mc:Choice Requires="x14">
        <oleObject progId="AutoCAD.Drawing.19" shapeId="92165" r:id="rId10">
          <objectPr defaultSize="0" autoPict="0" r:id="rId7">
            <anchor moveWithCells="1">
              <from>
                <xdr:col>5</xdr:col>
                <xdr:colOff>361950</xdr:colOff>
                <xdr:row>10</xdr:row>
                <xdr:rowOff>371475</xdr:rowOff>
              </from>
              <to>
                <xdr:col>6</xdr:col>
                <xdr:colOff>304800</xdr:colOff>
                <xdr:row>13</xdr:row>
                <xdr:rowOff>47625</xdr:rowOff>
              </to>
            </anchor>
          </objectPr>
        </oleObject>
      </mc:Choice>
      <mc:Fallback>
        <oleObject progId="AutoCAD.Drawing.19" shapeId="92165" r:id="rId10"/>
      </mc:Fallback>
    </mc:AlternateContent>
    <mc:AlternateContent xmlns:mc="http://schemas.openxmlformats.org/markup-compatibility/2006">
      <mc:Choice Requires="x14">
        <oleObject progId="AutoCAD.Drawing.19" shapeId="92166" r:id="rId11">
          <objectPr defaultSize="0" autoPict="0" r:id="rId7">
            <anchor moveWithCells="1">
              <from>
                <xdr:col>5</xdr:col>
                <xdr:colOff>304800</xdr:colOff>
                <xdr:row>16</xdr:row>
                <xdr:rowOff>1066800</xdr:rowOff>
              </from>
              <to>
                <xdr:col>6</xdr:col>
                <xdr:colOff>333375</xdr:colOff>
                <xdr:row>19</xdr:row>
                <xdr:rowOff>9525</xdr:rowOff>
              </to>
            </anchor>
          </objectPr>
        </oleObject>
      </mc:Choice>
      <mc:Fallback>
        <oleObject progId="AutoCAD.Drawing.19" shapeId="92166" r:id="rId11"/>
      </mc:Fallback>
    </mc:AlternateContent>
    <mc:AlternateContent xmlns:mc="http://schemas.openxmlformats.org/markup-compatibility/2006">
      <mc:Choice Requires="x14">
        <oleObject progId="AutoCAD.Drawing.19" shapeId="92167" r:id="rId12">
          <objectPr defaultSize="0" autoPict="0" r:id="rId9">
            <anchor moveWithCells="1">
              <from>
                <xdr:col>5</xdr:col>
                <xdr:colOff>733425</xdr:colOff>
                <xdr:row>19</xdr:row>
                <xdr:rowOff>38100</xdr:rowOff>
              </from>
              <to>
                <xdr:col>5</xdr:col>
                <xdr:colOff>2819400</xdr:colOff>
                <xdr:row>19</xdr:row>
                <xdr:rowOff>1371600</xdr:rowOff>
              </to>
            </anchor>
          </objectPr>
        </oleObject>
      </mc:Choice>
      <mc:Fallback>
        <oleObject progId="AutoCAD.Drawing.19" shapeId="92167" r:id="rId12"/>
      </mc:Fallback>
    </mc:AlternateContent>
    <mc:AlternateContent xmlns:mc="http://schemas.openxmlformats.org/markup-compatibility/2006">
      <mc:Choice Requires="x14">
        <oleObject progId="AutoCAD.Drawing.19" shapeId="92168" r:id="rId13">
          <objectPr defaultSize="0" autoPict="0" r:id="rId7">
            <anchor moveWithCells="1">
              <from>
                <xdr:col>5</xdr:col>
                <xdr:colOff>209550</xdr:colOff>
                <xdr:row>21</xdr:row>
                <xdr:rowOff>104775</xdr:rowOff>
              </from>
              <to>
                <xdr:col>6</xdr:col>
                <xdr:colOff>238125</xdr:colOff>
                <xdr:row>22</xdr:row>
                <xdr:rowOff>742950</xdr:rowOff>
              </to>
            </anchor>
          </objectPr>
        </oleObject>
      </mc:Choice>
      <mc:Fallback>
        <oleObject progId="AutoCAD.Drawing.19" shapeId="92168" r:id="rId13"/>
      </mc:Fallback>
    </mc:AlternateContent>
    <mc:AlternateContent xmlns:mc="http://schemas.openxmlformats.org/markup-compatibility/2006">
      <mc:Choice Requires="x14">
        <oleObject progId="AutoCAD.Drawing.19" shapeId="92170" r:id="rId14">
          <objectPr defaultSize="0" autoPict="0" r:id="rId9">
            <anchor moveWithCells="1">
              <from>
                <xdr:col>5</xdr:col>
                <xdr:colOff>676275</xdr:colOff>
                <xdr:row>12</xdr:row>
                <xdr:rowOff>447675</xdr:rowOff>
              </from>
              <to>
                <xdr:col>5</xdr:col>
                <xdr:colOff>2800350</xdr:colOff>
                <xdr:row>15</xdr:row>
                <xdr:rowOff>57150</xdr:rowOff>
              </to>
            </anchor>
          </objectPr>
        </oleObject>
      </mc:Choice>
      <mc:Fallback>
        <oleObject progId="AutoCAD.Drawing.19" shapeId="92170" r:id="rId14"/>
      </mc:Fallback>
    </mc:AlternateContent>
    <mc:AlternateContent xmlns:mc="http://schemas.openxmlformats.org/markup-compatibility/2006">
      <mc:Choice Requires="x14">
        <oleObject progId="AutoCAD.Drawing.19" shapeId="92173" r:id="rId15">
          <objectPr defaultSize="0" autoPict="0" r:id="rId7">
            <anchor moveWithCells="1">
              <from>
                <xdr:col>5</xdr:col>
                <xdr:colOff>57150</xdr:colOff>
                <xdr:row>23</xdr:row>
                <xdr:rowOff>0</xdr:rowOff>
              </from>
              <to>
                <xdr:col>6</xdr:col>
                <xdr:colOff>85725</xdr:colOff>
                <xdr:row>26</xdr:row>
                <xdr:rowOff>28575</xdr:rowOff>
              </to>
            </anchor>
          </objectPr>
        </oleObject>
      </mc:Choice>
      <mc:Fallback>
        <oleObject progId="AutoCAD.Drawing.19" shapeId="92173" r:id="rId15"/>
      </mc:Fallback>
    </mc:AlternateContent>
    <mc:AlternateContent xmlns:mc="http://schemas.openxmlformats.org/markup-compatibility/2006">
      <mc:Choice Requires="x14">
        <oleObject progId="AutoCAD.Drawing.19" shapeId="92174" r:id="rId16">
          <objectPr defaultSize="0" autoPict="0" r:id="rId9">
            <anchor moveWithCells="1">
              <from>
                <xdr:col>5</xdr:col>
                <xdr:colOff>828675</xdr:colOff>
                <xdr:row>20</xdr:row>
                <xdr:rowOff>85725</xdr:rowOff>
              </from>
              <to>
                <xdr:col>5</xdr:col>
                <xdr:colOff>2914650</xdr:colOff>
                <xdr:row>20</xdr:row>
                <xdr:rowOff>1419225</xdr:rowOff>
              </to>
            </anchor>
          </objectPr>
        </oleObject>
      </mc:Choice>
      <mc:Fallback>
        <oleObject progId="AutoCAD.Drawing.19" shapeId="92174" r:id="rId16"/>
      </mc:Fallback>
    </mc:AlternateContent>
    <mc:AlternateContent xmlns:mc="http://schemas.openxmlformats.org/markup-compatibility/2006">
      <mc:Choice Requires="x14">
        <oleObject progId="AutoCAD.Drawing.19" shapeId="92171" r:id="rId17">
          <objectPr defaultSize="0" autoPict="0" r:id="rId18">
            <anchor moveWithCells="1" sizeWithCells="1">
              <from>
                <xdr:col>5</xdr:col>
                <xdr:colOff>133350</xdr:colOff>
                <xdr:row>15</xdr:row>
                <xdr:rowOff>19050</xdr:rowOff>
              </from>
              <to>
                <xdr:col>6</xdr:col>
                <xdr:colOff>219075</xdr:colOff>
                <xdr:row>17</xdr:row>
                <xdr:rowOff>38100</xdr:rowOff>
              </to>
            </anchor>
          </objectPr>
        </oleObject>
      </mc:Choice>
      <mc:Fallback>
        <oleObject progId="AutoCAD.Drawing.19" shapeId="92171" r:id="rId1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W113"/>
  <sheetViews>
    <sheetView showGridLines="0" topLeftCell="A37" zoomScale="70" zoomScaleNormal="70" workbookViewId="0">
      <selection activeCell="J60" sqref="J60"/>
    </sheetView>
  </sheetViews>
  <sheetFormatPr baseColWidth="10" defaultRowHeight="15" x14ac:dyDescent="0.25"/>
  <cols>
    <col min="1" max="1" width="4.85546875" customWidth="1"/>
    <col min="2" max="2" width="9.7109375" customWidth="1"/>
    <col min="3" max="3" width="13.5703125" customWidth="1"/>
    <col min="4" max="4" width="11" customWidth="1"/>
    <col min="5" max="5" width="12.28515625" customWidth="1"/>
    <col min="6" max="6" width="42.85546875" customWidth="1"/>
    <col min="7" max="7" width="11" customWidth="1"/>
    <col min="8" max="8" width="10.42578125" customWidth="1"/>
    <col min="9" max="9" width="7.5703125" customWidth="1"/>
    <col min="10" max="10" width="12.140625" customWidth="1"/>
    <col min="11" max="11" width="10.7109375" customWidth="1"/>
    <col min="12" max="12" width="5.85546875" style="92" customWidth="1"/>
    <col min="13" max="13" width="11" customWidth="1"/>
    <col min="14" max="14" width="5.28515625" customWidth="1"/>
    <col min="15" max="15" width="16.28515625" customWidth="1"/>
    <col min="16" max="16" width="17.85546875" customWidth="1"/>
    <col min="17" max="17" width="14.140625" customWidth="1"/>
  </cols>
  <sheetData>
    <row r="1" spans="1:23" ht="19.5" thickBot="1" x14ac:dyDescent="0.35">
      <c r="A1" s="968" t="s">
        <v>292</v>
      </c>
      <c r="B1" s="969"/>
      <c r="C1" s="969"/>
      <c r="D1" s="969"/>
      <c r="E1" s="969"/>
      <c r="F1" s="969"/>
      <c r="G1" s="969"/>
      <c r="H1" s="969"/>
      <c r="I1" s="969"/>
      <c r="J1" s="969"/>
      <c r="K1" s="970"/>
    </row>
    <row r="2" spans="1:23" ht="15.75" thickBot="1" x14ac:dyDescent="0.3">
      <c r="A2" s="5"/>
      <c r="B2" s="6"/>
      <c r="C2" s="6"/>
      <c r="D2" s="6"/>
      <c r="E2" s="6"/>
      <c r="F2" s="6"/>
      <c r="G2" s="6"/>
      <c r="H2" s="6"/>
      <c r="I2" s="6"/>
      <c r="J2" s="6"/>
      <c r="K2" s="7"/>
    </row>
    <row r="3" spans="1:23" ht="30.75" thickBot="1" x14ac:dyDescent="0.3">
      <c r="A3" s="720" t="s">
        <v>0</v>
      </c>
      <c r="B3" s="246" t="s">
        <v>1</v>
      </c>
      <c r="C3" s="330" t="s">
        <v>2</v>
      </c>
      <c r="D3" s="330" t="s">
        <v>3</v>
      </c>
      <c r="E3" s="247" t="s">
        <v>4</v>
      </c>
      <c r="F3" s="1041" t="s">
        <v>5</v>
      </c>
      <c r="G3" s="1041"/>
      <c r="H3" s="246" t="s">
        <v>7</v>
      </c>
      <c r="I3" s="330" t="s">
        <v>8</v>
      </c>
      <c r="J3" s="330" t="s">
        <v>28</v>
      </c>
      <c r="K3" s="247" t="s">
        <v>9</v>
      </c>
      <c r="L3" s="327"/>
      <c r="P3" s="238" t="s">
        <v>19</v>
      </c>
      <c r="Q3" s="239" t="s">
        <v>20</v>
      </c>
      <c r="R3" s="239" t="s">
        <v>25</v>
      </c>
      <c r="S3" s="240" t="s">
        <v>311</v>
      </c>
      <c r="T3" s="241" t="s">
        <v>312</v>
      </c>
      <c r="U3" s="78"/>
      <c r="V3" s="78"/>
      <c r="W3" s="78"/>
    </row>
    <row r="4" spans="1:23" ht="24" customHeight="1" thickBot="1" x14ac:dyDescent="0.3">
      <c r="A4" s="1047" t="s">
        <v>10</v>
      </c>
      <c r="B4" s="865" t="s">
        <v>6</v>
      </c>
      <c r="C4" s="248" t="s">
        <v>286</v>
      </c>
      <c r="D4" s="248">
        <f>(10*2)*2</f>
        <v>40</v>
      </c>
      <c r="E4" s="272">
        <f t="shared" ref="E4:E6" si="0">H4+(I4*2)+(J4*2)</f>
        <v>1231</v>
      </c>
      <c r="F4" s="979"/>
      <c r="G4" s="274"/>
      <c r="H4" s="841">
        <f>1125-(2*5)-(2*VLOOKUP(C4,$P$4:$T$10,4,FALSE))</f>
        <v>1087</v>
      </c>
      <c r="I4" s="248">
        <v>50</v>
      </c>
      <c r="J4" s="248">
        <f>VLOOKUP(C4,$P$4:$T$10,5,FALSE)</f>
        <v>22</v>
      </c>
      <c r="K4" s="104">
        <f>(E4/100)*D4*VLOOKUP(C4,$P$4:$T$10,3,FALSE)</f>
        <v>4401.0712000000003</v>
      </c>
      <c r="L4" s="675" t="s">
        <v>43</v>
      </c>
      <c r="M4" s="20"/>
      <c r="N4" s="20"/>
      <c r="P4" s="235" t="s">
        <v>243</v>
      </c>
      <c r="Q4" s="236" t="s">
        <v>21</v>
      </c>
      <c r="R4" s="262">
        <v>0.55700000000000005</v>
      </c>
      <c r="S4" s="237">
        <f>ROUNDUP((3/8*2.54*3.5),0)</f>
        <v>4</v>
      </c>
      <c r="T4" s="260">
        <f t="shared" ref="T4:T5" si="1">ROUND(+PI()*S4*2/4,0)</f>
        <v>6</v>
      </c>
      <c r="U4" s="377"/>
      <c r="V4" s="377"/>
      <c r="W4" s="377"/>
    </row>
    <row r="5" spans="1:23" ht="24" customHeight="1" thickBot="1" x14ac:dyDescent="0.3">
      <c r="A5" s="1048"/>
      <c r="B5" s="866" t="s">
        <v>255</v>
      </c>
      <c r="C5" s="842" t="s">
        <v>286</v>
      </c>
      <c r="D5" s="842">
        <v>40</v>
      </c>
      <c r="E5" s="845">
        <f t="shared" ref="E5" si="2">H5+(I5*2)+(J5*2)</f>
        <v>1716</v>
      </c>
      <c r="F5" s="981"/>
      <c r="G5" s="252"/>
      <c r="H5" s="832">
        <f>1610-(2*5)-(2*VLOOKUP(C5,$P$4:$T$10,4,FALSE))</f>
        <v>1572</v>
      </c>
      <c r="I5" s="842">
        <v>50</v>
      </c>
      <c r="J5" s="842">
        <f>VLOOKUP(C5,$P$4:$T$10,5,FALSE)</f>
        <v>22</v>
      </c>
      <c r="K5" s="843">
        <f>(E5/100)*D5*VLOOKUP(C5,$P$4:$T$10,3,FALSE)</f>
        <v>6135.0432000000001</v>
      </c>
      <c r="L5" s="689" t="s">
        <v>43</v>
      </c>
      <c r="M5" s="688"/>
      <c r="N5" s="688"/>
      <c r="P5" s="9" t="s">
        <v>18</v>
      </c>
      <c r="Q5" s="220" t="s">
        <v>22</v>
      </c>
      <c r="R5" s="263">
        <v>0.996</v>
      </c>
      <c r="S5" s="264">
        <f>ROUNDUP((4/8*2.54*3.5),0)</f>
        <v>5</v>
      </c>
      <c r="T5" s="259">
        <f t="shared" si="1"/>
        <v>8</v>
      </c>
      <c r="U5" s="377"/>
      <c r="V5" s="377"/>
      <c r="W5" s="377"/>
    </row>
    <row r="6" spans="1:23" ht="24" customHeight="1" thickBot="1" x14ac:dyDescent="0.3">
      <c r="A6" s="1048"/>
      <c r="B6" s="867" t="s">
        <v>11</v>
      </c>
      <c r="C6" s="839" t="s">
        <v>17</v>
      </c>
      <c r="D6" s="839">
        <f>9*2</f>
        <v>18</v>
      </c>
      <c r="E6" s="840">
        <f t="shared" si="0"/>
        <v>1115</v>
      </c>
      <c r="F6" s="981"/>
      <c r="G6" s="252"/>
      <c r="H6" s="838">
        <f>1125-(2*5)</f>
        <v>1115</v>
      </c>
      <c r="I6" s="839"/>
      <c r="J6" s="839"/>
      <c r="K6" s="844">
        <f>(E6/100)*D6*VLOOKUP(C6,$P$4:$T$10,3,FALSE)</f>
        <v>448.56450000000001</v>
      </c>
      <c r="L6" s="675" t="s">
        <v>43</v>
      </c>
      <c r="M6" s="20"/>
      <c r="N6" s="20"/>
      <c r="P6" s="230" t="s">
        <v>244</v>
      </c>
      <c r="Q6" s="231" t="s">
        <v>23</v>
      </c>
      <c r="R6" s="262">
        <v>1.55</v>
      </c>
      <c r="S6" s="232">
        <f>ROUNDUP((5/8*2.54*3.5),0)</f>
        <v>6</v>
      </c>
      <c r="T6" s="261">
        <f>ROUND(+PI()*S6*2/4,0)</f>
        <v>9</v>
      </c>
      <c r="U6" s="377"/>
      <c r="V6" s="375"/>
      <c r="W6" s="376"/>
    </row>
    <row r="7" spans="1:23" ht="24" customHeight="1" thickBot="1" x14ac:dyDescent="0.3">
      <c r="A7" s="1048"/>
      <c r="B7" s="867" t="s">
        <v>263</v>
      </c>
      <c r="C7" s="839" t="s">
        <v>17</v>
      </c>
      <c r="D7" s="839">
        <v>18</v>
      </c>
      <c r="E7" s="840">
        <f t="shared" ref="E7" si="3">H7+(I7*2)+(J7*2)</f>
        <v>1600</v>
      </c>
      <c r="F7" s="833"/>
      <c r="G7" s="252"/>
      <c r="H7" s="838">
        <f>1610-(2*5)</f>
        <v>1600</v>
      </c>
      <c r="I7" s="839"/>
      <c r="J7" s="839"/>
      <c r="K7" s="844">
        <f>(E7/100)*D7*VLOOKUP(C7,$P$4:$T$10,3,FALSE)</f>
        <v>643.67999999999995</v>
      </c>
      <c r="L7" s="689" t="s">
        <v>43</v>
      </c>
      <c r="M7" s="688"/>
      <c r="N7" s="688"/>
      <c r="P7" s="9" t="s">
        <v>17</v>
      </c>
      <c r="Q7" s="220" t="s">
        <v>24</v>
      </c>
      <c r="R7" s="263">
        <v>2.2349999999999999</v>
      </c>
      <c r="S7" s="264">
        <f>ROUNDUP((6/8*2.54*3.5),0)</f>
        <v>7</v>
      </c>
      <c r="T7" s="259">
        <f>ROUND(+PI()*S7*2/4,0)</f>
        <v>11</v>
      </c>
      <c r="U7" s="377"/>
      <c r="V7" s="375"/>
      <c r="W7" s="376"/>
    </row>
    <row r="8" spans="1:23" ht="24" customHeight="1" thickBot="1" x14ac:dyDescent="0.3">
      <c r="A8" s="1048"/>
      <c r="B8" s="867" t="s">
        <v>12</v>
      </c>
      <c r="C8" s="839" t="s">
        <v>18</v>
      </c>
      <c r="D8" s="839">
        <f>45+102</f>
        <v>147</v>
      </c>
      <c r="E8" s="840">
        <f t="shared" ref="E8:E12" si="4">(H8*2)+(I8*2)+(J8*5)+20</f>
        <v>720</v>
      </c>
      <c r="F8" s="323"/>
      <c r="G8" s="323"/>
      <c r="H8" s="280">
        <f>200-(2*5)-(2*VLOOKUP(C8,$P$4:$T$10,4,FALSE))</f>
        <v>180</v>
      </c>
      <c r="I8" s="226">
        <f>170-(2*5)-(2*VLOOKUP(C8,$P$4:$T$10,4,FALSE))</f>
        <v>150</v>
      </c>
      <c r="J8" s="839">
        <f>VLOOKUP(C8,$P$4:$T$10,5,FALSE)</f>
        <v>8</v>
      </c>
      <c r="K8" s="844">
        <f>(E8/100)*D8*VLOOKUP(C8,$P$4:$T$10,3,FALSE)</f>
        <v>1054.1664000000001</v>
      </c>
      <c r="L8" s="675" t="s">
        <v>43</v>
      </c>
      <c r="N8" s="20"/>
      <c r="P8" s="230" t="s">
        <v>16</v>
      </c>
      <c r="Q8" s="233">
        <v>1</v>
      </c>
      <c r="R8" s="262">
        <v>3.99</v>
      </c>
      <c r="S8" s="232">
        <f>ROUNDUP((8/8*2.54*3.5),0)</f>
        <v>9</v>
      </c>
      <c r="T8" s="260">
        <f>ROUND(+PI()*S8*2/4,0)</f>
        <v>14</v>
      </c>
      <c r="U8" s="378"/>
      <c r="V8" s="375"/>
      <c r="W8" s="376"/>
    </row>
    <row r="9" spans="1:23" ht="34.5" customHeight="1" thickBot="1" x14ac:dyDescent="0.3">
      <c r="A9" s="1048"/>
      <c r="B9" s="1015" t="s">
        <v>399</v>
      </c>
      <c r="C9" s="839" t="s">
        <v>18</v>
      </c>
      <c r="D9" s="839">
        <v>4</v>
      </c>
      <c r="E9" s="840">
        <f>(H9*2)+(I9*2)+(J9*5)+20</f>
        <v>678</v>
      </c>
      <c r="F9" s="252"/>
      <c r="G9" s="427" t="s">
        <v>31</v>
      </c>
      <c r="H9" s="280">
        <f>169-(2*VLOOKUP(C9,$P$3:$T$9,4,FALSE))</f>
        <v>159</v>
      </c>
      <c r="I9" s="226">
        <f>170-(2*5)-(2*VLOOKUP(C9,$P$3:$T$9,4,FALSE))</f>
        <v>150</v>
      </c>
      <c r="J9" s="839">
        <f>VLOOKUP(C9,$P$4:$T$10,5,FALSE)</f>
        <v>8</v>
      </c>
      <c r="K9" s="843">
        <f>(((E9+E10)/2)/100)*D9*VLOOKUP(C9,$P$4:$T$10,3,FALSE)*M9</f>
        <v>88.444800000000001</v>
      </c>
      <c r="L9" s="675" t="s">
        <v>43</v>
      </c>
      <c r="M9" s="632">
        <v>4</v>
      </c>
      <c r="N9" s="20"/>
      <c r="P9" s="9" t="s">
        <v>290</v>
      </c>
      <c r="Q9" s="221">
        <v>1.25</v>
      </c>
      <c r="R9" s="263">
        <v>6.2249999999999996</v>
      </c>
      <c r="S9" s="264">
        <f>ROUNDUP((10/8*2.54*3.5),0)</f>
        <v>12</v>
      </c>
      <c r="T9" s="259">
        <f>ROUND(+PI()*S9*2/4,0)</f>
        <v>19</v>
      </c>
      <c r="U9" s="378"/>
      <c r="V9" s="375"/>
      <c r="W9" s="376"/>
    </row>
    <row r="10" spans="1:23" ht="34.5" customHeight="1" thickBot="1" x14ac:dyDescent="0.3">
      <c r="A10" s="1048"/>
      <c r="B10" s="1016"/>
      <c r="C10" s="839"/>
      <c r="D10" s="839"/>
      <c r="E10" s="840">
        <f>(H10*2)+(I10*2)+(J10*5)+20</f>
        <v>432</v>
      </c>
      <c r="F10" s="252"/>
      <c r="G10" s="427" t="s">
        <v>32</v>
      </c>
      <c r="H10" s="280">
        <f>46-(2*VLOOKUP(C9,$P$3:$T$9,4,FALSE))</f>
        <v>36</v>
      </c>
      <c r="I10" s="226">
        <f>170-(2*5)-(2*VLOOKUP(C9,$P$3:$T$9,4,FALSE))</f>
        <v>150</v>
      </c>
      <c r="J10" s="839">
        <f>VLOOKUP(C9,$P$4:$T$10,5,FALSE)</f>
        <v>8</v>
      </c>
      <c r="K10" s="844"/>
      <c r="L10" s="675"/>
      <c r="M10" s="676"/>
      <c r="N10" s="676"/>
      <c r="P10" s="230" t="s">
        <v>286</v>
      </c>
      <c r="Q10" s="234">
        <v>1.5</v>
      </c>
      <c r="R10" s="262">
        <v>8.9380000000000006</v>
      </c>
      <c r="S10" s="232">
        <f>ROUNDUP((12/8*2.54*3.5),0)</f>
        <v>14</v>
      </c>
      <c r="T10" s="258">
        <f>ROUND(+PI()*S10*2/4,0)</f>
        <v>22</v>
      </c>
      <c r="U10" s="378"/>
      <c r="V10" s="375"/>
      <c r="W10" s="376"/>
    </row>
    <row r="11" spans="1:23" ht="34.5" customHeight="1" x14ac:dyDescent="0.25">
      <c r="A11" s="1048"/>
      <c r="B11" s="1017"/>
      <c r="C11" s="1018" t="str">
        <f>CONCATENATE(M9," juegos de ",D9," vars.")</f>
        <v>4 juegos de 4 vars.</v>
      </c>
      <c r="D11" s="1018"/>
      <c r="E11" s="1019"/>
      <c r="F11" s="252"/>
      <c r="G11" s="427" t="s">
        <v>88</v>
      </c>
      <c r="H11" s="439">
        <f>(H9-H10)/(D9-1)</f>
        <v>41</v>
      </c>
      <c r="I11" s="8"/>
      <c r="J11" s="839"/>
      <c r="K11" s="844"/>
      <c r="L11" s="675"/>
      <c r="M11" s="702" t="s">
        <v>242</v>
      </c>
      <c r="N11" s="676"/>
      <c r="T11" s="2"/>
      <c r="U11" s="378"/>
      <c r="V11" s="375"/>
      <c r="W11" s="376"/>
    </row>
    <row r="12" spans="1:23" ht="34.5" customHeight="1" thickBot="1" x14ac:dyDescent="0.3">
      <c r="A12" s="1049"/>
      <c r="B12" s="882" t="s">
        <v>13</v>
      </c>
      <c r="C12" s="858" t="s">
        <v>18</v>
      </c>
      <c r="D12" s="858">
        <v>718</v>
      </c>
      <c r="E12" s="859">
        <f t="shared" si="4"/>
        <v>396</v>
      </c>
      <c r="F12" s="271"/>
      <c r="G12" s="271"/>
      <c r="H12" s="282">
        <f>28-(2*VLOOKUP(C12,$P$4:$T$10,4,FALSE))</f>
        <v>18</v>
      </c>
      <c r="I12" s="283">
        <f>170-(2*5)-(2*VLOOKUP(C8,$P$4:$T$10,4,FALSE))</f>
        <v>150</v>
      </c>
      <c r="J12" s="858">
        <f>VLOOKUP(C12,$P$4:$T$10,5,FALSE)</f>
        <v>8</v>
      </c>
      <c r="K12" s="108">
        <f>(E12/100)*D12*VLOOKUP(C12,$P$4:$T$10,3,FALSE)</f>
        <v>2831.90688</v>
      </c>
      <c r="L12" s="675" t="s">
        <v>43</v>
      </c>
      <c r="M12" s="20"/>
      <c r="N12" s="20"/>
      <c r="U12" s="378"/>
      <c r="V12" s="375"/>
      <c r="W12" s="376"/>
    </row>
    <row r="13" spans="1:23" ht="21" customHeight="1" x14ac:dyDescent="0.25">
      <c r="A13" s="1044" t="s">
        <v>26</v>
      </c>
      <c r="B13" s="1017" t="s">
        <v>98</v>
      </c>
      <c r="C13" s="699" t="s">
        <v>18</v>
      </c>
      <c r="D13" s="699">
        <v>6</v>
      </c>
      <c r="E13" s="698">
        <f>H13+(I13*2)+(J13*2)</f>
        <v>241.4</v>
      </c>
      <c r="F13" s="692"/>
      <c r="G13" s="116" t="s">
        <v>31</v>
      </c>
      <c r="H13" s="693">
        <f>83-(2*5)-2*(VLOOKUP(C13,$P$3:$T$10,4,FALSE))</f>
        <v>63</v>
      </c>
      <c r="I13" s="633">
        <f>(59.2+30)-3-(VLOOKUP(C13,$P$4:$T$10,4,FALSE))</f>
        <v>81.2</v>
      </c>
      <c r="J13" s="699">
        <f>VLOOKUP(C13,$P$4:$T$10,5,FALSE)</f>
        <v>8</v>
      </c>
      <c r="K13" s="700">
        <f>(((E13+E14)/2)/100)*D13*VLOOKUP(C13,$P$4:$T$10,3,FALSE)*M13</f>
        <v>114.85872000000001</v>
      </c>
      <c r="L13" s="675" t="s">
        <v>43</v>
      </c>
      <c r="M13" s="632">
        <v>10</v>
      </c>
      <c r="N13" s="11"/>
      <c r="U13" s="378"/>
      <c r="V13" s="375"/>
      <c r="W13" s="376"/>
    </row>
    <row r="14" spans="1:23" ht="21" customHeight="1" x14ac:dyDescent="0.25">
      <c r="A14" s="1044"/>
      <c r="B14" s="1046"/>
      <c r="C14" s="699"/>
      <c r="D14" s="694"/>
      <c r="E14" s="695">
        <f>H14+(I14*2)+(J14*2)</f>
        <v>143</v>
      </c>
      <c r="F14" s="692"/>
      <c r="G14" s="427" t="s">
        <v>32</v>
      </c>
      <c r="H14" s="696">
        <f>83-(2*5)-2*(VLOOKUP(C13,$P$3:$T$10,4,FALSE))</f>
        <v>63</v>
      </c>
      <c r="I14" s="222">
        <f>(10+30)-3-(VLOOKUP(C13,$P$4:$T$10,4,FALSE))</f>
        <v>32</v>
      </c>
      <c r="J14" s="694">
        <f>VLOOKUP(C13,$P$4:$T$10,5,FALSE)</f>
        <v>8</v>
      </c>
      <c r="K14" s="701"/>
      <c r="L14" s="675"/>
      <c r="M14" s="585"/>
      <c r="N14" s="588"/>
      <c r="U14" s="378"/>
      <c r="V14" s="375"/>
      <c r="W14" s="376"/>
    </row>
    <row r="15" spans="1:23" ht="21" customHeight="1" x14ac:dyDescent="0.25">
      <c r="A15" s="1044"/>
      <c r="B15" s="1046"/>
      <c r="C15" s="1018" t="str">
        <f>CONCATENATE(M13," juegos de ",D13," vars.")</f>
        <v>10 juegos de 6 vars.</v>
      </c>
      <c r="D15" s="1018"/>
      <c r="E15" s="1019"/>
      <c r="F15" s="692"/>
      <c r="G15" s="427" t="s">
        <v>88</v>
      </c>
      <c r="H15" s="14"/>
      <c r="I15" s="631">
        <f>(I13-I14)/(D13-1)</f>
        <v>9.84</v>
      </c>
      <c r="J15" s="694"/>
      <c r="K15" s="701"/>
      <c r="L15" s="675"/>
      <c r="M15" s="587" t="s">
        <v>242</v>
      </c>
      <c r="N15" s="588"/>
      <c r="U15" s="378"/>
      <c r="V15" s="375"/>
      <c r="W15" s="376"/>
    </row>
    <row r="16" spans="1:23" ht="21" customHeight="1" x14ac:dyDescent="0.25">
      <c r="A16" s="1044"/>
      <c r="B16" s="1046" t="s">
        <v>274</v>
      </c>
      <c r="C16" s="699" t="s">
        <v>18</v>
      </c>
      <c r="D16" s="699">
        <v>6</v>
      </c>
      <c r="E16" s="698">
        <f>H16+(I16*2)+(J16*2)</f>
        <v>241</v>
      </c>
      <c r="F16" s="692"/>
      <c r="G16" s="116" t="s">
        <v>31</v>
      </c>
      <c r="H16" s="693">
        <f>79-(2*5)-2*(VLOOKUP(C16,$P$3:$T$10,4,FALSE))</f>
        <v>59</v>
      </c>
      <c r="I16" s="633">
        <f>(61+30)-3-(VLOOKUP(C16,$P$4:$T$10,4,FALSE))</f>
        <v>83</v>
      </c>
      <c r="J16" s="699">
        <f>VLOOKUP(C16,$P$4:$T$10,5,FALSE)</f>
        <v>8</v>
      </c>
      <c r="K16" s="700">
        <f>(((E16+E17)/2)/100)*D16*VLOOKUP(C16,$P$4:$T$10,3,FALSE)*M16</f>
        <v>116.47224000000001</v>
      </c>
      <c r="L16" s="675" t="s">
        <v>43</v>
      </c>
      <c r="M16" s="632">
        <v>10</v>
      </c>
      <c r="N16" s="11"/>
    </row>
    <row r="17" spans="1:20" ht="21" customHeight="1" x14ac:dyDescent="0.25">
      <c r="A17" s="1044"/>
      <c r="B17" s="1046"/>
      <c r="C17" s="699"/>
      <c r="D17" s="694"/>
      <c r="E17" s="695">
        <f>H17+(I17*2)+(J17*2)</f>
        <v>148.80000000000001</v>
      </c>
      <c r="F17" s="692"/>
      <c r="G17" s="427" t="s">
        <v>32</v>
      </c>
      <c r="H17" s="696">
        <f>79-(2*5)-2*(VLOOKUP(C16,$P$3:$T$10,4,FALSE))</f>
        <v>59</v>
      </c>
      <c r="I17" s="634">
        <f>(14.9+30)-3-(VLOOKUP(C16,$P$4:$T$10,4,FALSE))</f>
        <v>36.9</v>
      </c>
      <c r="J17" s="694">
        <f>VLOOKUP(C16,$P$4:$T$10,5,FALSE)</f>
        <v>8</v>
      </c>
      <c r="K17" s="701"/>
      <c r="L17" s="675"/>
      <c r="M17" s="586"/>
      <c r="N17" s="588"/>
    </row>
    <row r="18" spans="1:20" ht="21" customHeight="1" x14ac:dyDescent="0.25">
      <c r="A18" s="1044"/>
      <c r="B18" s="1046"/>
      <c r="C18" s="1018" t="str">
        <f>CONCATENATE(M16," juegos de ",D16," vars.")</f>
        <v>10 juegos de 6 vars.</v>
      </c>
      <c r="D18" s="1018"/>
      <c r="E18" s="1019"/>
      <c r="F18" s="692"/>
      <c r="G18" s="427" t="s">
        <v>88</v>
      </c>
      <c r="H18" s="14"/>
      <c r="I18" s="631">
        <f>(I16-I17)/(D16-1)</f>
        <v>9.2200000000000006</v>
      </c>
      <c r="J18" s="694"/>
      <c r="K18" s="701"/>
      <c r="L18" s="675"/>
      <c r="M18" s="587" t="s">
        <v>242</v>
      </c>
      <c r="N18" s="588"/>
    </row>
    <row r="19" spans="1:20" ht="21" customHeight="1" x14ac:dyDescent="0.25">
      <c r="A19" s="1044"/>
      <c r="B19" s="1046" t="s">
        <v>99</v>
      </c>
      <c r="C19" s="699" t="s">
        <v>18</v>
      </c>
      <c r="D19" s="699">
        <v>6</v>
      </c>
      <c r="E19" s="698">
        <f>H19+(I19*2)+(J19*2)</f>
        <v>228.4</v>
      </c>
      <c r="F19" s="692"/>
      <c r="G19" s="116" t="s">
        <v>31</v>
      </c>
      <c r="H19" s="693">
        <f>70-(2*5)-2*(VLOOKUP(C19,$P$3:$T$10,4,FALSE))</f>
        <v>50</v>
      </c>
      <c r="I19" s="633">
        <f>(59.2+30)-3-(VLOOKUP(C19,$P$4:$T$10,4,FALSE))</f>
        <v>81.2</v>
      </c>
      <c r="J19" s="699">
        <f>VLOOKUP(C19,$P$4:$T$10,5,FALSE)</f>
        <v>8</v>
      </c>
      <c r="K19" s="700">
        <f>(((E19+E20)/2)/100)*D19*VLOOKUP(C19,$P$4:$T$10,3,FALSE)*M19</f>
        <v>107.08991999999998</v>
      </c>
      <c r="L19" s="675" t="s">
        <v>43</v>
      </c>
      <c r="M19" s="632">
        <v>10</v>
      </c>
      <c r="N19" s="11"/>
      <c r="T19" s="2"/>
    </row>
    <row r="20" spans="1:20" ht="21" customHeight="1" x14ac:dyDescent="0.25">
      <c r="A20" s="1044"/>
      <c r="B20" s="1046"/>
      <c r="C20" s="699"/>
      <c r="D20" s="694"/>
      <c r="E20" s="695">
        <f>H20+(I20*2)+(J20*2)</f>
        <v>130</v>
      </c>
      <c r="F20" s="692"/>
      <c r="G20" s="427" t="s">
        <v>32</v>
      </c>
      <c r="H20" s="696">
        <f>70-(2*5)-2*(VLOOKUP(C19,$P$3:$T$10,4,FALSE))</f>
        <v>50</v>
      </c>
      <c r="I20" s="222">
        <f>(10+30)-3-(VLOOKUP(C19,$P$4:$T$10,4,FALSE))</f>
        <v>32</v>
      </c>
      <c r="J20" s="694">
        <f>VLOOKUP(C19,$P$4:$T$10,5,FALSE)</f>
        <v>8</v>
      </c>
      <c r="K20" s="701"/>
      <c r="L20" s="675"/>
      <c r="M20" s="588"/>
      <c r="N20" s="588"/>
      <c r="T20" s="2"/>
    </row>
    <row r="21" spans="1:20" ht="21" customHeight="1" x14ac:dyDescent="0.25">
      <c r="A21" s="1044"/>
      <c r="B21" s="1046"/>
      <c r="C21" s="1018" t="str">
        <f>CONCATENATE(M19," juegos de ",D19," vars.")</f>
        <v>10 juegos de 6 vars.</v>
      </c>
      <c r="D21" s="1018"/>
      <c r="E21" s="1019"/>
      <c r="F21" s="692"/>
      <c r="G21" s="427" t="s">
        <v>88</v>
      </c>
      <c r="H21" s="14"/>
      <c r="I21" s="631">
        <f>(I19-I20)/(D19-1)</f>
        <v>9.84</v>
      </c>
      <c r="J21" s="694"/>
      <c r="K21" s="701"/>
      <c r="L21" s="675"/>
      <c r="M21" s="587" t="s">
        <v>242</v>
      </c>
      <c r="N21" s="588"/>
      <c r="T21" s="2"/>
    </row>
    <row r="22" spans="1:20" ht="21" customHeight="1" x14ac:dyDescent="0.25">
      <c r="A22" s="1044"/>
      <c r="B22" s="1015" t="s">
        <v>275</v>
      </c>
      <c r="C22" s="699" t="s">
        <v>18</v>
      </c>
      <c r="D22" s="699">
        <v>6</v>
      </c>
      <c r="E22" s="698">
        <f>H22+(I22*2)+(J22*2)</f>
        <v>232</v>
      </c>
      <c r="F22" s="692"/>
      <c r="G22" s="116" t="s">
        <v>31</v>
      </c>
      <c r="H22" s="693">
        <f>70-(2*5)-2*(VLOOKUP(C22,$P$3:$T$10,4,FALSE))</f>
        <v>50</v>
      </c>
      <c r="I22" s="633">
        <f>(61+30)-3-(VLOOKUP(C22,$P$4:$T$10,4,FALSE))</f>
        <v>83</v>
      </c>
      <c r="J22" s="699">
        <f>VLOOKUP(C22,$P$4:$T$10,5,FALSE)</f>
        <v>8</v>
      </c>
      <c r="K22" s="700">
        <f>(((E22+E23)/2)/100)*D22*VLOOKUP(C22,$P$4:$T$10,3,FALSE)*M22</f>
        <v>111.09384</v>
      </c>
      <c r="L22" s="675" t="s">
        <v>43</v>
      </c>
      <c r="M22" s="632">
        <v>10</v>
      </c>
      <c r="N22" s="588"/>
      <c r="T22" s="2"/>
    </row>
    <row r="23" spans="1:20" ht="21" customHeight="1" x14ac:dyDescent="0.25">
      <c r="A23" s="1044"/>
      <c r="B23" s="1016"/>
      <c r="C23" s="699"/>
      <c r="D23" s="694"/>
      <c r="E23" s="695">
        <f>H23+(I23*2)+(J23*2)</f>
        <v>139.80000000000001</v>
      </c>
      <c r="F23" s="692"/>
      <c r="G23" s="427" t="s">
        <v>32</v>
      </c>
      <c r="H23" s="696">
        <f>70-(2*5)-(2*VLOOKUP(C22,$P$3:$T$10,4,FALSE))</f>
        <v>50</v>
      </c>
      <c r="I23" s="634">
        <f>(14.9+30)-3-(VLOOKUP(C22,$P$4:$T$10,4,FALSE))</f>
        <v>36.9</v>
      </c>
      <c r="J23" s="694">
        <f>VLOOKUP(C22,$P$4:$T$10,5,FALSE)</f>
        <v>8</v>
      </c>
      <c r="K23" s="701"/>
      <c r="L23" s="675"/>
      <c r="M23" s="588"/>
      <c r="N23" s="588"/>
      <c r="T23" s="2"/>
    </row>
    <row r="24" spans="1:20" ht="21" customHeight="1" x14ac:dyDescent="0.25">
      <c r="A24" s="1044"/>
      <c r="B24" s="1017"/>
      <c r="C24" s="1018" t="str">
        <f>CONCATENATE(M22," juegos de ",D22," vars.")</f>
        <v>10 juegos de 6 vars.</v>
      </c>
      <c r="D24" s="1018"/>
      <c r="E24" s="1019"/>
      <c r="F24" s="275"/>
      <c r="G24" s="427" t="s">
        <v>88</v>
      </c>
      <c r="H24" s="14"/>
      <c r="I24" s="631">
        <f>(I22-I23)/(D22-1)</f>
        <v>9.2200000000000006</v>
      </c>
      <c r="J24" s="694"/>
      <c r="K24" s="701"/>
      <c r="L24" s="675"/>
      <c r="M24" s="20"/>
      <c r="N24" s="20"/>
    </row>
    <row r="25" spans="1:20" ht="64.5" customHeight="1" x14ac:dyDescent="0.25">
      <c r="A25" s="1044"/>
      <c r="B25" s="867" t="s">
        <v>100</v>
      </c>
      <c r="C25" s="694" t="s">
        <v>18</v>
      </c>
      <c r="D25" s="694">
        <v>44</v>
      </c>
      <c r="E25" s="695">
        <f t="shared" ref="E25:E29" si="5">(H25*2)+(I25*2)+(J25*5)+20</f>
        <v>302</v>
      </c>
      <c r="F25" s="252"/>
      <c r="G25" s="252"/>
      <c r="H25" s="280">
        <f>83-(2*3)-(2*VLOOKUP(C25,$P$4:$T$10,4,FALSE))</f>
        <v>67</v>
      </c>
      <c r="I25" s="226">
        <f>70-(2*3)-(2*VLOOKUP(C25,$P$4:$T$10,4,FALSE))</f>
        <v>54</v>
      </c>
      <c r="J25" s="694">
        <f t="shared" ref="J25:J34" si="6">VLOOKUP(C25,$P$4:$T$10,5,FALSE)</f>
        <v>8</v>
      </c>
      <c r="K25" s="701">
        <f t="shared" ref="K25:K35" si="7">(E25/100)*D25*VLOOKUP(C25,$P$4:$T$10,3,FALSE)</f>
        <v>132.34848</v>
      </c>
      <c r="L25" s="675" t="s">
        <v>43</v>
      </c>
      <c r="M25" s="20"/>
      <c r="N25" s="20"/>
      <c r="O25" s="20"/>
      <c r="P25" s="20"/>
      <c r="Q25" s="20"/>
      <c r="R25" s="20"/>
    </row>
    <row r="26" spans="1:20" ht="64.5" customHeight="1" thickBot="1" x14ac:dyDescent="0.3">
      <c r="A26" s="1045"/>
      <c r="B26" s="882" t="s">
        <v>276</v>
      </c>
      <c r="C26" s="703" t="s">
        <v>18</v>
      </c>
      <c r="D26" s="703">
        <v>48</v>
      </c>
      <c r="E26" s="704">
        <f t="shared" si="5"/>
        <v>294</v>
      </c>
      <c r="F26" s="981"/>
      <c r="G26" s="981"/>
      <c r="H26" s="282">
        <f>79-(2*3)-(2*VLOOKUP(C26,$P$4:$T$10,4,FALSE))</f>
        <v>63</v>
      </c>
      <c r="I26" s="283">
        <f>70-(2*3)-(2*VLOOKUP(C26,$P$4:$T$10,4,FALSE))</f>
        <v>54</v>
      </c>
      <c r="J26" s="703">
        <f t="shared" si="6"/>
        <v>8</v>
      </c>
      <c r="K26" s="108">
        <f t="shared" si="7"/>
        <v>140.55552</v>
      </c>
      <c r="L26" s="675" t="s">
        <v>43</v>
      </c>
      <c r="M26" s="20"/>
      <c r="N26" s="20"/>
      <c r="O26" s="20"/>
      <c r="P26" s="20"/>
      <c r="Q26" s="20"/>
      <c r="R26" s="20"/>
    </row>
    <row r="27" spans="1:20" ht="36.75" customHeight="1" x14ac:dyDescent="0.25">
      <c r="A27" s="1044" t="s">
        <v>27</v>
      </c>
      <c r="B27" s="865" t="s">
        <v>374</v>
      </c>
      <c r="C27" s="248" t="s">
        <v>18</v>
      </c>
      <c r="D27" s="248">
        <v>76</v>
      </c>
      <c r="E27" s="272">
        <f t="shared" si="5"/>
        <v>280</v>
      </c>
      <c r="F27" s="1007"/>
      <c r="G27" s="1008"/>
      <c r="H27" s="278">
        <f>42-(2*3)-(2*VLOOKUP(C27,$P$4:$T$10,4,FALSE))</f>
        <v>26</v>
      </c>
      <c r="I27" s="249">
        <f>100-(2*3)-(2*VLOOKUP(C27,$P$4:$T$10,4,FALSE))</f>
        <v>84</v>
      </c>
      <c r="J27" s="248">
        <f t="shared" si="6"/>
        <v>8</v>
      </c>
      <c r="K27" s="104">
        <f t="shared" si="7"/>
        <v>211.94879999999998</v>
      </c>
      <c r="L27" s="675" t="s">
        <v>43</v>
      </c>
      <c r="M27" s="20"/>
      <c r="N27" s="20"/>
      <c r="O27" s="20"/>
      <c r="P27" s="20"/>
      <c r="Q27" s="20"/>
      <c r="R27" s="20"/>
    </row>
    <row r="28" spans="1:20" ht="36.75" customHeight="1" x14ac:dyDescent="0.25">
      <c r="A28" s="1044"/>
      <c r="B28" s="867" t="s">
        <v>375</v>
      </c>
      <c r="C28" s="694" t="s">
        <v>18</v>
      </c>
      <c r="D28" s="694">
        <v>38</v>
      </c>
      <c r="E28" s="695">
        <f t="shared" si="5"/>
        <v>262</v>
      </c>
      <c r="F28" s="1009"/>
      <c r="G28" s="1010"/>
      <c r="H28" s="280">
        <f>33-(2*3)-(2*VLOOKUP(C28,$P$4:$T$10,4,FALSE))</f>
        <v>17</v>
      </c>
      <c r="I28" s="226">
        <f>100-(2*3)-(2*VLOOKUP(C28,$P$4:$T$10,4,FALSE))</f>
        <v>84</v>
      </c>
      <c r="J28" s="694">
        <f t="shared" si="6"/>
        <v>8</v>
      </c>
      <c r="K28" s="701">
        <f t="shared" si="7"/>
        <v>99.161760000000001</v>
      </c>
      <c r="L28" s="675" t="s">
        <v>43</v>
      </c>
      <c r="M28" s="20"/>
      <c r="N28" s="20"/>
      <c r="O28" s="20"/>
      <c r="P28" s="20"/>
      <c r="Q28" s="20"/>
      <c r="R28" s="20"/>
    </row>
    <row r="29" spans="1:20" ht="36.75" customHeight="1" x14ac:dyDescent="0.25">
      <c r="A29" s="1044"/>
      <c r="B29" s="867" t="s">
        <v>376</v>
      </c>
      <c r="C29" s="694" t="s">
        <v>18</v>
      </c>
      <c r="D29" s="694">
        <v>38</v>
      </c>
      <c r="E29" s="695">
        <f t="shared" si="5"/>
        <v>284</v>
      </c>
      <c r="F29" s="1011"/>
      <c r="G29" s="1012"/>
      <c r="H29" s="280">
        <f>44-(2*3)-(2*VLOOKUP(C29,$P$4:$T$10,4,FALSE))</f>
        <v>28</v>
      </c>
      <c r="I29" s="226">
        <f>100-(2*3)-(2*VLOOKUP(C29,$P$4:$T$10,4,FALSE))</f>
        <v>84</v>
      </c>
      <c r="J29" s="694">
        <f t="shared" si="6"/>
        <v>8</v>
      </c>
      <c r="K29" s="701">
        <f t="shared" si="7"/>
        <v>107.48831999999999</v>
      </c>
      <c r="L29" s="675" t="s">
        <v>43</v>
      </c>
      <c r="M29" s="585"/>
      <c r="N29" s="585"/>
      <c r="O29" s="585"/>
      <c r="P29" s="585"/>
      <c r="Q29" s="585"/>
      <c r="R29" s="585"/>
    </row>
    <row r="30" spans="1:20" ht="27" customHeight="1" x14ac:dyDescent="0.25">
      <c r="A30" s="1044"/>
      <c r="B30" s="867" t="s">
        <v>110</v>
      </c>
      <c r="C30" s="694" t="s">
        <v>18</v>
      </c>
      <c r="D30" s="694">
        <v>28</v>
      </c>
      <c r="E30" s="695">
        <f t="shared" ref="E30:E34" si="8">H30+(I30*2)+(J30*2)</f>
        <v>214</v>
      </c>
      <c r="F30" s="692"/>
      <c r="G30" s="692"/>
      <c r="H30" s="280">
        <f>42-(2*4)-(2*VLOOKUP(C30,$P$4:$T$10,4,FALSE))</f>
        <v>24</v>
      </c>
      <c r="I30" s="226">
        <f>(55)-3-(VLOOKUP(C30,$P$4:$T$10,4,FALSE))+40</f>
        <v>87</v>
      </c>
      <c r="J30" s="694">
        <f t="shared" si="6"/>
        <v>8</v>
      </c>
      <c r="K30" s="701">
        <f t="shared" si="7"/>
        <v>59.680320000000002</v>
      </c>
      <c r="L30" s="675" t="s">
        <v>43</v>
      </c>
      <c r="M30" s="20"/>
      <c r="N30" s="20"/>
      <c r="O30" s="20"/>
      <c r="P30" s="20"/>
      <c r="Q30" s="20"/>
      <c r="R30" s="20"/>
    </row>
    <row r="31" spans="1:20" ht="27" customHeight="1" x14ac:dyDescent="0.25">
      <c r="A31" s="1044"/>
      <c r="B31" s="867" t="s">
        <v>277</v>
      </c>
      <c r="C31" s="694" t="s">
        <v>18</v>
      </c>
      <c r="D31" s="694">
        <v>6</v>
      </c>
      <c r="E31" s="695">
        <f t="shared" si="8"/>
        <v>295</v>
      </c>
      <c r="F31" s="692"/>
      <c r="G31" s="692"/>
      <c r="H31" s="280">
        <f>33-(2*4)-(2*VLOOKUP(C31,$P$4:$T$10,4,FALSE))</f>
        <v>15</v>
      </c>
      <c r="I31" s="226">
        <f>(100)-3-(VLOOKUP(C31,$P$4:$T$10,4,FALSE))+40</f>
        <v>132</v>
      </c>
      <c r="J31" s="694">
        <f t="shared" si="6"/>
        <v>8</v>
      </c>
      <c r="K31" s="701">
        <f t="shared" si="7"/>
        <v>17.629200000000004</v>
      </c>
      <c r="L31" s="675" t="s">
        <v>43</v>
      </c>
      <c r="M31" s="20"/>
      <c r="N31" s="20"/>
      <c r="O31" s="20"/>
      <c r="P31" s="20"/>
      <c r="Q31" s="20"/>
      <c r="R31" s="20"/>
    </row>
    <row r="32" spans="1:20" ht="27" customHeight="1" x14ac:dyDescent="0.25">
      <c r="A32" s="1044"/>
      <c r="B32" s="867" t="s">
        <v>377</v>
      </c>
      <c r="C32" s="694" t="s">
        <v>18</v>
      </c>
      <c r="D32" s="694">
        <v>21</v>
      </c>
      <c r="E32" s="695">
        <f t="shared" si="8"/>
        <v>306</v>
      </c>
      <c r="F32" s="252"/>
      <c r="G32" s="252"/>
      <c r="H32" s="280">
        <f>44-(2*4)-(2*VLOOKUP(C32,$P$4:$T$10,4,FALSE))</f>
        <v>26</v>
      </c>
      <c r="I32" s="226">
        <f>100-3-(VLOOKUP(C32,$P$4:$T$10,4,FALSE))+40</f>
        <v>132</v>
      </c>
      <c r="J32" s="694">
        <f t="shared" si="6"/>
        <v>8</v>
      </c>
      <c r="K32" s="701">
        <f t="shared" si="7"/>
        <v>64.002960000000002</v>
      </c>
      <c r="L32" s="675" t="s">
        <v>43</v>
      </c>
      <c r="M32" s="20"/>
      <c r="N32" s="20"/>
      <c r="O32" s="20"/>
      <c r="P32" s="20"/>
      <c r="Q32" s="20"/>
      <c r="R32" s="20"/>
    </row>
    <row r="33" spans="1:18" ht="27" customHeight="1" x14ac:dyDescent="0.25">
      <c r="A33" s="1044"/>
      <c r="B33" s="867" t="s">
        <v>46</v>
      </c>
      <c r="C33" s="694" t="s">
        <v>18</v>
      </c>
      <c r="D33" s="694">
        <v>28</v>
      </c>
      <c r="E33" s="695">
        <f t="shared" si="8"/>
        <v>272</v>
      </c>
      <c r="F33" s="252"/>
      <c r="G33" s="252"/>
      <c r="H33" s="280">
        <f>100-(2*4)-(2*VLOOKUP(C33,$P$4:$T$10,4,FALSE))</f>
        <v>82</v>
      </c>
      <c r="I33" s="226">
        <f>(55)-3-(VLOOKUP(C33,$P$4:$T$10,4,FALSE))+40</f>
        <v>87</v>
      </c>
      <c r="J33" s="694">
        <f t="shared" si="6"/>
        <v>8</v>
      </c>
      <c r="K33" s="701">
        <f t="shared" si="7"/>
        <v>75.855360000000005</v>
      </c>
      <c r="L33" s="675" t="s">
        <v>43</v>
      </c>
      <c r="M33" s="20"/>
      <c r="N33" s="20"/>
      <c r="O33" s="20"/>
      <c r="P33" s="20"/>
      <c r="Q33" s="20"/>
      <c r="R33" s="20"/>
    </row>
    <row r="34" spans="1:18" ht="27" customHeight="1" thickBot="1" x14ac:dyDescent="0.3">
      <c r="A34" s="1044"/>
      <c r="B34" s="886" t="s">
        <v>273</v>
      </c>
      <c r="C34" s="690" t="s">
        <v>18</v>
      </c>
      <c r="D34" s="690">
        <v>28</v>
      </c>
      <c r="E34" s="691">
        <f t="shared" si="8"/>
        <v>362</v>
      </c>
      <c r="F34" s="252"/>
      <c r="G34" s="252"/>
      <c r="H34" s="602">
        <f>100-(2*4)-(2*VLOOKUP(C34,$P$4:$T$10,4,FALSE))</f>
        <v>82</v>
      </c>
      <c r="I34" s="604">
        <f>100-3-(VLOOKUP(C34,$P$4:$T$10,4,FALSE))+40</f>
        <v>132</v>
      </c>
      <c r="J34" s="690">
        <f t="shared" si="6"/>
        <v>8</v>
      </c>
      <c r="K34" s="697">
        <f t="shared" si="7"/>
        <v>100.95456</v>
      </c>
      <c r="L34" s="675" t="s">
        <v>43</v>
      </c>
      <c r="M34" s="585"/>
      <c r="N34" s="585"/>
      <c r="O34" s="585"/>
      <c r="P34" s="585"/>
      <c r="Q34" s="585"/>
      <c r="R34" s="585"/>
    </row>
    <row r="35" spans="1:18" ht="157.5" customHeight="1" x14ac:dyDescent="0.25">
      <c r="A35" s="1042" t="s">
        <v>393</v>
      </c>
      <c r="B35" s="865" t="s">
        <v>47</v>
      </c>
      <c r="C35" s="248" t="s">
        <v>18</v>
      </c>
      <c r="D35" s="248">
        <v>854</v>
      </c>
      <c r="E35" s="272">
        <f>((PI())*H35)+I35*2</f>
        <v>636.90260418206071</v>
      </c>
      <c r="F35" s="1013"/>
      <c r="G35" s="1014"/>
      <c r="H35" s="680">
        <f>200-(2*5)</f>
        <v>190</v>
      </c>
      <c r="I35" s="248">
        <v>20</v>
      </c>
      <c r="J35" s="248"/>
      <c r="K35" s="104">
        <f t="shared" si="7"/>
        <v>5417.3916467559393</v>
      </c>
      <c r="L35" s="683" t="s">
        <v>43</v>
      </c>
      <c r="M35" s="20"/>
      <c r="N35" s="20"/>
      <c r="R35" s="20"/>
    </row>
    <row r="36" spans="1:18" ht="119.25" customHeight="1" x14ac:dyDescent="0.25">
      <c r="A36" s="953"/>
      <c r="B36" s="867" t="s">
        <v>379</v>
      </c>
      <c r="C36" s="681" t="s">
        <v>18</v>
      </c>
      <c r="D36" s="681">
        <f>D35*2</f>
        <v>1708</v>
      </c>
      <c r="E36" s="682">
        <f>H36+(I36*2)+(2*J36)</f>
        <v>210</v>
      </c>
      <c r="F36" s="1007"/>
      <c r="G36" s="1008"/>
      <c r="H36" s="679">
        <f>200-(2*5)-(2*VLOOKUP(C28,$P$4:$T$10,4,FALSE))</f>
        <v>180</v>
      </c>
      <c r="I36" s="681">
        <v>7</v>
      </c>
      <c r="J36" s="681">
        <v>8</v>
      </c>
      <c r="K36" s="684">
        <f>(E36/100)*D36*VLOOKUP(C36,$P$3:$T$9,3,FALSE)</f>
        <v>3572.4528</v>
      </c>
      <c r="L36" s="683" t="s">
        <v>43</v>
      </c>
      <c r="M36" s="678"/>
      <c r="N36" s="678"/>
      <c r="R36" s="678"/>
    </row>
    <row r="37" spans="1:18" ht="51" customHeight="1" x14ac:dyDescent="0.25">
      <c r="A37" s="1043"/>
      <c r="B37" s="867" t="s">
        <v>278</v>
      </c>
      <c r="C37" s="611" t="s">
        <v>16</v>
      </c>
      <c r="D37" s="611">
        <v>128</v>
      </c>
      <c r="E37" s="613">
        <f>H37+(I37*2)+(2*J37)</f>
        <v>2610</v>
      </c>
      <c r="F37" s="592"/>
      <c r="G37" s="417"/>
      <c r="H37" s="600">
        <f>(2400+70)-10-(2*VLOOKUP($C$37,$P$4:$T$10,4,FALSE))</f>
        <v>2442</v>
      </c>
      <c r="I37" s="611">
        <v>70</v>
      </c>
      <c r="J37" s="611">
        <f>VLOOKUP(C37,$P$4:$T$10,5,FALSE)</f>
        <v>14</v>
      </c>
      <c r="K37" s="612">
        <f>((E37)/100)*D37*VLOOKUP(C37,$P$4:$T$10,3,FALSE)</f>
        <v>13329.792000000001</v>
      </c>
      <c r="L37" s="677" t="s">
        <v>43</v>
      </c>
      <c r="M37" s="588"/>
      <c r="N37" s="588"/>
      <c r="O37" s="78"/>
      <c r="R37" s="20"/>
    </row>
    <row r="38" spans="1:18" ht="51" customHeight="1" thickBot="1" x14ac:dyDescent="0.3">
      <c r="A38" s="1043"/>
      <c r="B38" s="867" t="s">
        <v>380</v>
      </c>
      <c r="C38" s="611" t="s">
        <v>16</v>
      </c>
      <c r="D38" s="611">
        <v>128</v>
      </c>
      <c r="E38" s="613">
        <f>H38+(I38*2)+(2*J38)</f>
        <v>2695</v>
      </c>
      <c r="F38" s="592"/>
      <c r="G38" s="417"/>
      <c r="H38" s="600">
        <f>(2485+70)-10-(2*VLOOKUP($C$38,$P$4:$T$10,4,FALSE))</f>
        <v>2527</v>
      </c>
      <c r="I38" s="611">
        <v>70</v>
      </c>
      <c r="J38" s="611">
        <f>VLOOKUP(C38,$P$4:$T$10,5,FALSE)</f>
        <v>14</v>
      </c>
      <c r="K38" s="612">
        <f>((E38)/100)*D38*VLOOKUP(C38,$P$4:$T$10,3,FALSE)</f>
        <v>13763.904</v>
      </c>
      <c r="L38" s="677" t="s">
        <v>43</v>
      </c>
      <c r="M38" s="588"/>
      <c r="N38" s="588"/>
      <c r="O38" s="78"/>
      <c r="R38" s="328"/>
    </row>
    <row r="39" spans="1:18" ht="15.75" thickBot="1" x14ac:dyDescent="0.3">
      <c r="A39" s="52"/>
      <c r="B39" s="331"/>
      <c r="C39" s="332"/>
      <c r="D39" s="331"/>
      <c r="E39" s="338"/>
      <c r="F39" s="614" t="s">
        <v>104</v>
      </c>
      <c r="G39" s="615"/>
      <c r="H39" s="155" t="s">
        <v>51</v>
      </c>
      <c r="I39" s="156"/>
      <c r="J39" s="157" t="s">
        <v>52</v>
      </c>
      <c r="K39" s="158"/>
      <c r="M39">
        <v>58793.59</v>
      </c>
    </row>
    <row r="40" spans="1:18" x14ac:dyDescent="0.25">
      <c r="A40" s="894"/>
      <c r="B40" s="962"/>
      <c r="C40" s="963"/>
      <c r="D40" s="963"/>
      <c r="E40" s="963"/>
      <c r="F40" s="854" t="s">
        <v>80</v>
      </c>
      <c r="G40" s="855"/>
      <c r="H40" s="856"/>
      <c r="I40" s="857"/>
      <c r="J40" s="118"/>
      <c r="K40" s="119"/>
    </row>
    <row r="41" spans="1:18" x14ac:dyDescent="0.25">
      <c r="A41" s="883"/>
      <c r="B41" s="928"/>
      <c r="C41" s="929"/>
      <c r="D41" s="929"/>
      <c r="E41" s="929"/>
      <c r="F41" s="852"/>
      <c r="G41" s="853"/>
      <c r="H41" s="848"/>
      <c r="I41" s="849"/>
      <c r="J41" s="926"/>
      <c r="K41" s="927"/>
      <c r="M41" s="71"/>
    </row>
    <row r="42" spans="1:18" ht="15.75" thickBot="1" x14ac:dyDescent="0.3">
      <c r="A42" s="883"/>
      <c r="B42" s="830"/>
      <c r="C42" s="831"/>
      <c r="D42" s="831"/>
      <c r="E42" s="831"/>
      <c r="F42" s="852" t="s">
        <v>455</v>
      </c>
      <c r="G42" s="853"/>
      <c r="H42" s="848" t="s">
        <v>30</v>
      </c>
      <c r="I42" s="849"/>
      <c r="J42" s="835">
        <f>SUM(K35:K38)</f>
        <v>36083.540446755942</v>
      </c>
      <c r="K42" s="836"/>
    </row>
    <row r="43" spans="1:18" x14ac:dyDescent="0.25">
      <c r="A43" s="883"/>
      <c r="B43" s="928"/>
      <c r="C43" s="929"/>
      <c r="D43" s="929"/>
      <c r="E43" s="929"/>
      <c r="F43" s="852" t="s">
        <v>103</v>
      </c>
      <c r="G43" s="853"/>
      <c r="H43" s="848" t="s">
        <v>30</v>
      </c>
      <c r="I43" s="849"/>
      <c r="J43" s="652">
        <f>SUM(K4:K12)</f>
        <v>15602.876980000001</v>
      </c>
      <c r="K43" s="653"/>
      <c r="M43" s="5" t="s">
        <v>186</v>
      </c>
      <c r="N43" s="6"/>
      <c r="O43" s="7"/>
    </row>
    <row r="44" spans="1:18" x14ac:dyDescent="0.25">
      <c r="A44" s="883"/>
      <c r="B44" s="928"/>
      <c r="C44" s="929"/>
      <c r="D44" s="929"/>
      <c r="E44" s="929"/>
      <c r="F44" s="852" t="s">
        <v>450</v>
      </c>
      <c r="G44" s="853"/>
      <c r="H44" s="848" t="s">
        <v>30</v>
      </c>
      <c r="I44" s="849"/>
      <c r="J44" s="652">
        <f>SUM(K13:K34)</f>
        <v>1459.1399999999999</v>
      </c>
      <c r="K44" s="653"/>
      <c r="M44" s="54"/>
      <c r="N44" s="2"/>
      <c r="O44" s="50"/>
    </row>
    <row r="45" spans="1:18" x14ac:dyDescent="0.25">
      <c r="A45" s="883"/>
      <c r="B45" s="830"/>
      <c r="C45" s="831"/>
      <c r="D45" s="831"/>
      <c r="E45" s="831"/>
      <c r="F45" s="852"/>
      <c r="G45" s="853"/>
      <c r="H45" s="848"/>
      <c r="I45" s="849"/>
      <c r="J45" s="835"/>
      <c r="K45" s="836"/>
      <c r="M45" s="54"/>
      <c r="N45" s="2"/>
      <c r="O45" s="50"/>
    </row>
    <row r="46" spans="1:18" x14ac:dyDescent="0.25">
      <c r="A46" s="883"/>
      <c r="B46" s="964"/>
      <c r="C46" s="965"/>
      <c r="D46" s="965"/>
      <c r="E46" s="965"/>
      <c r="F46" s="850" t="s">
        <v>114</v>
      </c>
      <c r="G46" s="851"/>
      <c r="H46" s="848"/>
      <c r="I46" s="849"/>
      <c r="J46" s="835"/>
      <c r="K46" s="836"/>
      <c r="M46" s="359" t="s">
        <v>184</v>
      </c>
      <c r="N46" s="360"/>
      <c r="O46" s="361">
        <f>J43+J44</f>
        <v>17062.01698</v>
      </c>
      <c r="P46" t="s">
        <v>43</v>
      </c>
    </row>
    <row r="47" spans="1:18" x14ac:dyDescent="0.25">
      <c r="A47" s="884"/>
      <c r="B47" s="928"/>
      <c r="C47" s="929"/>
      <c r="D47" s="929"/>
      <c r="E47" s="929"/>
      <c r="F47" s="852" t="s">
        <v>452</v>
      </c>
      <c r="G47" s="853"/>
      <c r="H47" s="848" t="s">
        <v>29</v>
      </c>
      <c r="I47" s="849"/>
      <c r="J47" s="835">
        <f>(G67+G68)</f>
        <v>306.9336022557228</v>
      </c>
      <c r="K47" s="836"/>
      <c r="M47" s="945" t="s">
        <v>182</v>
      </c>
      <c r="N47" s="946"/>
      <c r="O47" s="361">
        <f>J42</f>
        <v>36083.540446755942</v>
      </c>
      <c r="P47" t="s">
        <v>43</v>
      </c>
    </row>
    <row r="48" spans="1:18" x14ac:dyDescent="0.25">
      <c r="A48" s="884"/>
      <c r="B48" s="830"/>
      <c r="C48" s="831"/>
      <c r="D48" s="831"/>
      <c r="E48" s="831"/>
      <c r="F48" s="852" t="s">
        <v>103</v>
      </c>
      <c r="G48" s="853"/>
      <c r="H48" s="848" t="s">
        <v>29</v>
      </c>
      <c r="I48" s="849"/>
      <c r="J48" s="835">
        <f>G78</f>
        <v>92.990000000000009</v>
      </c>
      <c r="K48" s="836"/>
      <c r="M48" s="305"/>
      <c r="N48" s="306"/>
      <c r="O48" s="665"/>
    </row>
    <row r="49" spans="1:16" x14ac:dyDescent="0.25">
      <c r="A49" s="884"/>
      <c r="B49" s="830"/>
      <c r="C49" s="831"/>
      <c r="D49" s="831"/>
      <c r="E49" s="831"/>
      <c r="F49" s="852" t="s">
        <v>450</v>
      </c>
      <c r="G49" s="853"/>
      <c r="H49" s="848" t="s">
        <v>29</v>
      </c>
      <c r="I49" s="849"/>
      <c r="J49" s="835">
        <f>F93</f>
        <v>6.6721861999999996</v>
      </c>
      <c r="K49" s="836"/>
      <c r="M49" s="305"/>
      <c r="N49" s="306"/>
      <c r="O49" s="665"/>
    </row>
    <row r="50" spans="1:16" x14ac:dyDescent="0.25">
      <c r="A50" s="884"/>
      <c r="B50" s="928"/>
      <c r="C50" s="929"/>
      <c r="D50" s="929"/>
      <c r="E50" s="929"/>
      <c r="F50" s="668" t="s">
        <v>105</v>
      </c>
      <c r="G50" s="851"/>
      <c r="H50" s="848" t="s">
        <v>29</v>
      </c>
      <c r="I50" s="849"/>
      <c r="J50" s="835">
        <f>G70+G71</f>
        <v>237.9442275828909</v>
      </c>
      <c r="K50" s="836"/>
      <c r="M50" s="362"/>
      <c r="N50" s="363"/>
      <c r="O50" s="364"/>
    </row>
    <row r="51" spans="1:16" ht="15.75" thickBot="1" x14ac:dyDescent="0.3">
      <c r="A51" s="885"/>
      <c r="B51" s="1020"/>
      <c r="C51" s="1021"/>
      <c r="D51" s="1021"/>
      <c r="E51" s="1021"/>
      <c r="F51" s="893"/>
      <c r="G51" s="893"/>
      <c r="H51" s="893"/>
      <c r="I51" s="893"/>
      <c r="J51" s="893"/>
      <c r="K51" s="847"/>
      <c r="M51" s="359" t="s">
        <v>185</v>
      </c>
      <c r="N51" s="360"/>
      <c r="O51" s="361">
        <f>J48+J49</f>
        <v>99.662186200000008</v>
      </c>
      <c r="P51" t="s">
        <v>43</v>
      </c>
    </row>
    <row r="52" spans="1:16" x14ac:dyDescent="0.25">
      <c r="A52" s="887"/>
      <c r="B52" s="888"/>
      <c r="C52" s="888"/>
      <c r="D52" s="888"/>
      <c r="E52" s="888"/>
      <c r="F52" s="889"/>
      <c r="G52" s="889"/>
      <c r="H52" s="846"/>
      <c r="I52" s="846"/>
      <c r="J52" s="890"/>
      <c r="K52" s="890"/>
      <c r="M52" s="647"/>
      <c r="N52" s="319"/>
      <c r="O52" s="648"/>
    </row>
    <row r="53" spans="1:16" x14ac:dyDescent="0.25">
      <c r="A53" s="887"/>
      <c r="B53" s="888"/>
      <c r="C53" s="888"/>
      <c r="D53" s="888"/>
      <c r="E53" s="888"/>
      <c r="F53" s="2"/>
      <c r="G53" s="2"/>
      <c r="H53" s="2"/>
      <c r="I53" s="2"/>
      <c r="J53" s="2"/>
      <c r="K53" s="890"/>
      <c r="M53" s="647"/>
      <c r="N53" s="319"/>
      <c r="O53" s="648"/>
    </row>
    <row r="54" spans="1:16" ht="15.75" thickBot="1" x14ac:dyDescent="0.3">
      <c r="A54" s="887"/>
      <c r="B54" s="1050"/>
      <c r="C54" s="1050"/>
      <c r="D54" s="1050"/>
      <c r="E54" s="1050"/>
      <c r="F54" s="891"/>
      <c r="G54" s="892"/>
      <c r="H54" s="846"/>
      <c r="I54" s="846"/>
      <c r="J54" s="890"/>
      <c r="K54" s="890"/>
      <c r="M54" s="365" t="s">
        <v>183</v>
      </c>
      <c r="N54" s="366"/>
      <c r="O54" s="367">
        <f>J47</f>
        <v>306.9336022557228</v>
      </c>
      <c r="P54" t="s">
        <v>43</v>
      </c>
    </row>
    <row r="55" spans="1:16" x14ac:dyDescent="0.25">
      <c r="B55" s="2"/>
      <c r="C55" s="2"/>
      <c r="D55" s="2"/>
      <c r="E55" s="2"/>
      <c r="F55" s="2"/>
      <c r="G55" s="2"/>
      <c r="H55" s="2"/>
      <c r="I55" s="2"/>
      <c r="J55" s="2"/>
      <c r="K55" s="2"/>
    </row>
    <row r="57" spans="1:16" ht="15.75" thickBot="1" x14ac:dyDescent="0.3">
      <c r="F57" s="2"/>
      <c r="G57" s="2"/>
    </row>
    <row r="58" spans="1:16" ht="15.75" thickBot="1" x14ac:dyDescent="0.3">
      <c r="D58" s="650">
        <f>SUM(J41:K45)</f>
        <v>53145.557426755942</v>
      </c>
      <c r="F58" s="958" t="s">
        <v>126</v>
      </c>
      <c r="G58" s="958"/>
      <c r="H58" s="959" t="s">
        <v>29</v>
      </c>
      <c r="I58" s="960"/>
      <c r="J58" s="933">
        <f>(J42+J43+J44)/J59</f>
        <v>6.7701347040453426</v>
      </c>
      <c r="K58" s="934"/>
    </row>
    <row r="59" spans="1:16" ht="15.75" thickBot="1" x14ac:dyDescent="0.3">
      <c r="D59" s="650">
        <f>57065.59+20640.52+1050.94+6690.43</f>
        <v>85447.48000000001</v>
      </c>
      <c r="F59" s="961" t="s">
        <v>127</v>
      </c>
      <c r="G59" s="961"/>
      <c r="H59" s="931" t="s">
        <v>128</v>
      </c>
      <c r="I59" s="932"/>
      <c r="J59" s="933">
        <v>7850</v>
      </c>
      <c r="K59" s="934"/>
    </row>
    <row r="60" spans="1:16" ht="15.75" thickBot="1" x14ac:dyDescent="0.3">
      <c r="D60" s="651">
        <f>D58-D59</f>
        <v>-32301.922573244068</v>
      </c>
      <c r="F60" s="961" t="s">
        <v>134</v>
      </c>
      <c r="G60" s="958"/>
      <c r="H60" s="959" t="s">
        <v>29</v>
      </c>
      <c r="I60" s="960"/>
      <c r="J60" s="654">
        <f>(J47+J48+J49)-J58</f>
        <v>399.82565375167746</v>
      </c>
      <c r="K60" s="655"/>
    </row>
    <row r="61" spans="1:16" x14ac:dyDescent="0.25">
      <c r="K61" s="100"/>
    </row>
    <row r="62" spans="1:16" x14ac:dyDescent="0.25">
      <c r="E62" s="343"/>
    </row>
    <row r="66" spans="1:15" x14ac:dyDescent="0.25">
      <c r="B66" s="1"/>
      <c r="C66" s="1" t="s">
        <v>169</v>
      </c>
      <c r="D66" s="1" t="s">
        <v>40</v>
      </c>
      <c r="E66" s="1" t="s">
        <v>39</v>
      </c>
      <c r="F66" s="1" t="s">
        <v>168</v>
      </c>
      <c r="G66" s="329" t="s">
        <v>384</v>
      </c>
      <c r="H66" s="2">
        <v>2</v>
      </c>
      <c r="I66" t="s">
        <v>382</v>
      </c>
      <c r="J66" s="344" t="s">
        <v>386</v>
      </c>
      <c r="K66" s="344" t="s">
        <v>386</v>
      </c>
      <c r="L66" s="1058" t="s">
        <v>387</v>
      </c>
      <c r="M66" s="1058"/>
      <c r="N66" s="1058" t="s">
        <v>388</v>
      </c>
      <c r="O66" s="1058"/>
    </row>
    <row r="67" spans="1:15" x14ac:dyDescent="0.25">
      <c r="B67" s="1" t="s">
        <v>397</v>
      </c>
      <c r="C67" s="340">
        <v>1</v>
      </c>
      <c r="D67" s="340">
        <f>PI()*(C67^2)</f>
        <v>3.1415926535897931</v>
      </c>
      <c r="E67" s="341">
        <v>24</v>
      </c>
      <c r="F67" s="341">
        <f>D67*E67</f>
        <v>75.398223686155035</v>
      </c>
      <c r="G67" s="342">
        <f>F67*H66</f>
        <v>150.79644737231007</v>
      </c>
      <c r="H67" s="345" t="s">
        <v>43</v>
      </c>
      <c r="J67" s="344">
        <f>(H66*E70)</f>
        <v>38.119999999999997</v>
      </c>
      <c r="K67" s="344">
        <f>(E71*H68)</f>
        <v>37.619999999999997</v>
      </c>
      <c r="L67" s="1058">
        <f>(E67*H66)</f>
        <v>48</v>
      </c>
      <c r="M67" s="1058"/>
      <c r="N67" s="1058">
        <f>(E68*H68)</f>
        <v>49.7</v>
      </c>
      <c r="O67" s="1058"/>
    </row>
    <row r="68" spans="1:15" x14ac:dyDescent="0.25">
      <c r="B68" s="1" t="s">
        <v>451</v>
      </c>
      <c r="C68" s="340">
        <v>1</v>
      </c>
      <c r="D68" s="340">
        <f>PI()*(C68^2)</f>
        <v>3.1415926535897931</v>
      </c>
      <c r="E68" s="341">
        <v>24.85</v>
      </c>
      <c r="F68" s="341">
        <f>D68*E68</f>
        <v>78.068577441706367</v>
      </c>
      <c r="G68" s="342">
        <f>F68*H68</f>
        <v>156.13715488341273</v>
      </c>
      <c r="H68" s="2">
        <v>2</v>
      </c>
      <c r="I68" t="s">
        <v>398</v>
      </c>
      <c r="J68" s="344"/>
      <c r="K68" s="344"/>
    </row>
    <row r="69" spans="1:15" x14ac:dyDescent="0.25">
      <c r="B69" s="1"/>
      <c r="C69" s="340"/>
      <c r="D69" s="340"/>
      <c r="E69" s="341"/>
      <c r="F69" s="341"/>
      <c r="G69" s="705" t="s">
        <v>383</v>
      </c>
      <c r="H69" s="345"/>
      <c r="J69" s="344"/>
      <c r="K69" s="344"/>
    </row>
    <row r="70" spans="1:15" x14ac:dyDescent="0.25">
      <c r="B70" s="1" t="s">
        <v>397</v>
      </c>
      <c r="C70" s="340">
        <v>1</v>
      </c>
      <c r="D70" s="340">
        <f>PI()*(C70^2)</f>
        <v>3.1415926535897931</v>
      </c>
      <c r="E70" s="341">
        <v>19.059999999999999</v>
      </c>
      <c r="F70" s="341">
        <f>D70*E70</f>
        <v>59.878755977421456</v>
      </c>
      <c r="G70" s="342">
        <f>F70*H66</f>
        <v>119.75751195484291</v>
      </c>
      <c r="H70" s="345" t="s">
        <v>43</v>
      </c>
    </row>
    <row r="71" spans="1:15" x14ac:dyDescent="0.25">
      <c r="A71" s="142"/>
      <c r="B71" s="1" t="s">
        <v>451</v>
      </c>
      <c r="C71" s="340">
        <v>1</v>
      </c>
      <c r="D71" s="340">
        <f>PI()*(C71^2)</f>
        <v>3.1415926535897931</v>
      </c>
      <c r="E71" s="341">
        <v>18.809999999999999</v>
      </c>
      <c r="F71" s="341">
        <f>D71*E71</f>
        <v>59.093357814024003</v>
      </c>
      <c r="G71" s="342">
        <f>F71*H68</f>
        <v>118.18671562804801</v>
      </c>
      <c r="H71" s="327" t="s">
        <v>43</v>
      </c>
    </row>
    <row r="72" spans="1:15" x14ac:dyDescent="0.25">
      <c r="B72" s="996" t="s">
        <v>392</v>
      </c>
      <c r="C72" s="996"/>
      <c r="D72" s="996"/>
      <c r="E72" s="996"/>
      <c r="F72" s="996"/>
      <c r="G72" s="996"/>
      <c r="H72" s="327"/>
    </row>
    <row r="73" spans="1:15" x14ac:dyDescent="0.25">
      <c r="B73" s="8"/>
      <c r="C73" s="340"/>
      <c r="D73" s="340"/>
      <c r="E73" s="341"/>
      <c r="F73" s="341"/>
      <c r="G73" s="342"/>
      <c r="H73" s="327" t="s">
        <v>43</v>
      </c>
    </row>
    <row r="74" spans="1:15" x14ac:dyDescent="0.25">
      <c r="B74" s="996" t="s">
        <v>381</v>
      </c>
      <c r="C74" s="996"/>
      <c r="D74" s="996"/>
      <c r="E74" s="996"/>
      <c r="F74" s="996"/>
      <c r="G74" s="996"/>
      <c r="H74" s="327"/>
    </row>
    <row r="75" spans="1:15" x14ac:dyDescent="0.25">
      <c r="B75" s="1"/>
      <c r="C75" s="340"/>
      <c r="D75" s="340"/>
      <c r="E75" s="341"/>
      <c r="F75" s="341"/>
      <c r="G75" s="342"/>
      <c r="H75" s="327" t="s">
        <v>43</v>
      </c>
    </row>
    <row r="76" spans="1:15" x14ac:dyDescent="0.25">
      <c r="H76" s="92"/>
    </row>
    <row r="77" spans="1:15" ht="15.75" customHeight="1" thickBot="1" x14ac:dyDescent="0.3">
      <c r="B77" s="1057"/>
      <c r="C77" s="1057"/>
      <c r="D77" s="82" t="s">
        <v>40</v>
      </c>
      <c r="E77" s="82" t="s">
        <v>42</v>
      </c>
      <c r="F77" s="82" t="s">
        <v>41</v>
      </c>
      <c r="H77" s="92"/>
    </row>
    <row r="78" spans="1:15" ht="22.5" customHeight="1" thickBot="1" x14ac:dyDescent="0.3">
      <c r="B78" s="935" t="s">
        <v>400</v>
      </c>
      <c r="C78" s="936"/>
      <c r="D78" s="347">
        <f>2*1.7</f>
        <v>3.4</v>
      </c>
      <c r="E78" s="347">
        <v>11.25</v>
      </c>
      <c r="F78" s="320">
        <f t="shared" ref="F78:F84" si="9">D78*E78</f>
        <v>38.25</v>
      </c>
      <c r="G78" s="1061">
        <f>F78+F79+F80</f>
        <v>92.990000000000009</v>
      </c>
      <c r="H78" s="1064" t="s">
        <v>43</v>
      </c>
    </row>
    <row r="79" spans="1:15" ht="22.5" customHeight="1" x14ac:dyDescent="0.25">
      <c r="B79" s="935"/>
      <c r="C79" s="936"/>
      <c r="D79" s="347"/>
      <c r="E79" s="721"/>
      <c r="F79" s="320"/>
      <c r="G79" s="1062"/>
      <c r="H79" s="1064"/>
    </row>
    <row r="80" spans="1:15" ht="22.5" customHeight="1" thickBot="1" x14ac:dyDescent="0.3">
      <c r="B80" s="1059" t="s">
        <v>323</v>
      </c>
      <c r="C80" s="1060"/>
      <c r="D80" s="346">
        <f>(2*1.7)</f>
        <v>3.4</v>
      </c>
      <c r="E80" s="346">
        <v>16.100000000000001</v>
      </c>
      <c r="F80" s="348">
        <f>D80*E80</f>
        <v>54.74</v>
      </c>
      <c r="G80" s="1063"/>
      <c r="H80" s="1064"/>
    </row>
    <row r="81" spans="1:21" ht="22.5" customHeight="1" x14ac:dyDescent="0.25">
      <c r="A81" s="1022" t="s">
        <v>334</v>
      </c>
      <c r="B81" s="1033" t="s">
        <v>288</v>
      </c>
      <c r="C81" s="1026"/>
      <c r="D81" s="369">
        <v>0.44140000000000001</v>
      </c>
      <c r="E81" s="369">
        <v>0.55000000000000004</v>
      </c>
      <c r="F81" s="349">
        <f t="shared" si="9"/>
        <v>0.24277000000000004</v>
      </c>
      <c r="G81" s="638" t="s">
        <v>43</v>
      </c>
    </row>
    <row r="82" spans="1:21" ht="22.5" customHeight="1" x14ac:dyDescent="0.25">
      <c r="A82" s="1023"/>
      <c r="B82" s="1034" t="s">
        <v>146</v>
      </c>
      <c r="C82" s="1028"/>
      <c r="D82" s="310">
        <v>0.3296</v>
      </c>
      <c r="E82" s="310">
        <v>1</v>
      </c>
      <c r="F82" s="350">
        <f t="shared" si="9"/>
        <v>0.3296</v>
      </c>
      <c r="G82" s="243" t="s">
        <v>43</v>
      </c>
    </row>
    <row r="83" spans="1:21" ht="22.5" customHeight="1" x14ac:dyDescent="0.25">
      <c r="A83" s="1023"/>
      <c r="B83" s="1035" t="s">
        <v>288</v>
      </c>
      <c r="C83" s="1030"/>
      <c r="D83" s="370">
        <v>0.42059999999999997</v>
      </c>
      <c r="E83" s="370">
        <v>0.55000000000000004</v>
      </c>
      <c r="F83" s="350">
        <f t="shared" si="9"/>
        <v>0.23133000000000001</v>
      </c>
      <c r="G83" s="243" t="s">
        <v>43</v>
      </c>
    </row>
    <row r="84" spans="1:21" ht="22.5" customHeight="1" thickBot="1" x14ac:dyDescent="0.3">
      <c r="A84" s="1024"/>
      <c r="B84" s="1036" t="s">
        <v>146</v>
      </c>
      <c r="C84" s="1032"/>
      <c r="D84" s="353">
        <v>0.42059999999999997</v>
      </c>
      <c r="E84" s="353">
        <v>1</v>
      </c>
      <c r="F84" s="351">
        <f t="shared" si="9"/>
        <v>0.42059999999999997</v>
      </c>
      <c r="G84" s="243" t="s">
        <v>43</v>
      </c>
    </row>
    <row r="85" spans="1:21" ht="22.5" customHeight="1" x14ac:dyDescent="0.25">
      <c r="A85" s="1022" t="s">
        <v>335</v>
      </c>
      <c r="B85" s="1025" t="s">
        <v>289</v>
      </c>
      <c r="C85" s="1026"/>
      <c r="D85" s="369">
        <v>0.44140000000000001</v>
      </c>
      <c r="E85" s="369">
        <v>0.55000000000000004</v>
      </c>
      <c r="F85" s="349">
        <f>D85*E85</f>
        <v>0.24277000000000004</v>
      </c>
      <c r="G85" s="243" t="s">
        <v>43</v>
      </c>
    </row>
    <row r="86" spans="1:21" ht="22.5" customHeight="1" x14ac:dyDescent="0.25">
      <c r="A86" s="1023"/>
      <c r="B86" s="1027" t="s">
        <v>333</v>
      </c>
      <c r="C86" s="1028"/>
      <c r="D86" s="310">
        <v>0.44140000000000001</v>
      </c>
      <c r="E86" s="310">
        <v>1</v>
      </c>
      <c r="F86" s="350">
        <f>D86*E86</f>
        <v>0.44140000000000001</v>
      </c>
      <c r="G86" s="243" t="s">
        <v>43</v>
      </c>
    </row>
    <row r="87" spans="1:21" ht="22.5" customHeight="1" x14ac:dyDescent="0.25">
      <c r="A87" s="1023"/>
      <c r="B87" s="1029" t="s">
        <v>289</v>
      </c>
      <c r="C87" s="1030"/>
      <c r="D87" s="370">
        <v>0.42059999999999997</v>
      </c>
      <c r="E87" s="370">
        <v>0.55000000000000004</v>
      </c>
      <c r="F87" s="350">
        <f>D87*E87</f>
        <v>0.23133000000000001</v>
      </c>
      <c r="G87" s="243" t="s">
        <v>43</v>
      </c>
    </row>
    <row r="88" spans="1:21" ht="22.5" customHeight="1" thickBot="1" x14ac:dyDescent="0.3">
      <c r="A88" s="1024"/>
      <c r="B88" s="1031" t="s">
        <v>333</v>
      </c>
      <c r="C88" s="1032"/>
      <c r="D88" s="353">
        <v>0.42059999999999997</v>
      </c>
      <c r="E88" s="353">
        <v>1</v>
      </c>
      <c r="F88" s="351">
        <f>D88*E88</f>
        <v>0.42059999999999997</v>
      </c>
      <c r="G88" s="243" t="s">
        <v>43</v>
      </c>
    </row>
    <row r="89" spans="1:21" ht="22.5" customHeight="1" x14ac:dyDescent="0.25">
      <c r="A89" s="357"/>
      <c r="B89" s="1055" t="s">
        <v>337</v>
      </c>
      <c r="C89" s="1055"/>
      <c r="D89" s="371">
        <v>0.57930000000000004</v>
      </c>
      <c r="E89" s="371">
        <f>((9.6+26.9+44.1+31.3+48.5+10+22.3+34.6+46.9+59.2)/10)/100</f>
        <v>0.33339999999999997</v>
      </c>
      <c r="F89" s="356">
        <f>D89*E89*J89</f>
        <v>1.9313862000000002</v>
      </c>
      <c r="G89" s="639" t="s">
        <v>43</v>
      </c>
      <c r="H89" t="s">
        <v>279</v>
      </c>
      <c r="J89" s="584">
        <v>10</v>
      </c>
    </row>
    <row r="90" spans="1:21" ht="22.5" customHeight="1" x14ac:dyDescent="0.25">
      <c r="A90" s="357"/>
      <c r="B90" s="1056" t="s">
        <v>336</v>
      </c>
      <c r="C90" s="1056"/>
      <c r="D90" s="358">
        <v>0.55200000000000005</v>
      </c>
      <c r="E90" s="358">
        <f>((20.9+37+53.1+39.2+55.2+14.9+26.4+37.9+49.4+61)/10)/100</f>
        <v>0.39499999999999991</v>
      </c>
      <c r="F90" s="356">
        <f>D90*E90*J89</f>
        <v>2.1803999999999997</v>
      </c>
      <c r="G90" s="639" t="s">
        <v>43</v>
      </c>
    </row>
    <row r="91" spans="1:21" ht="22.5" customHeight="1" x14ac:dyDescent="0.25">
      <c r="A91" s="2"/>
      <c r="B91" s="924" t="s">
        <v>144</v>
      </c>
      <c r="C91" s="924"/>
      <c r="D91" s="372"/>
      <c r="E91" s="372"/>
      <c r="F91" s="318">
        <f>(D91*E91)*2</f>
        <v>0</v>
      </c>
    </row>
    <row r="92" spans="1:21" ht="22.5" customHeight="1" x14ac:dyDescent="0.25">
      <c r="A92" s="2"/>
      <c r="B92" s="1051" t="s">
        <v>145</v>
      </c>
      <c r="C92" s="1051"/>
      <c r="D92" s="76"/>
      <c r="E92" s="76"/>
      <c r="F92" s="318">
        <f>(D92*E92)*2</f>
        <v>0</v>
      </c>
    </row>
    <row r="93" spans="1:21" ht="15.75" customHeight="1" x14ac:dyDescent="0.25">
      <c r="B93" s="1052" t="s">
        <v>285</v>
      </c>
      <c r="C93" s="1053"/>
      <c r="D93" s="1053"/>
      <c r="E93" s="1054"/>
      <c r="F93" s="368">
        <f>SUM(F81:F92)</f>
        <v>6.6721861999999996</v>
      </c>
    </row>
    <row r="95" spans="1:21" x14ac:dyDescent="0.25">
      <c r="G95" t="s">
        <v>150</v>
      </c>
    </row>
    <row r="96" spans="1:21" x14ac:dyDescent="0.25">
      <c r="B96" s="996" t="s">
        <v>175</v>
      </c>
      <c r="C96" s="996"/>
      <c r="D96" s="1" t="s">
        <v>40</v>
      </c>
      <c r="E96" s="1" t="s">
        <v>39</v>
      </c>
      <c r="F96" s="1" t="s">
        <v>85</v>
      </c>
      <c r="G96" s="1" t="s">
        <v>149</v>
      </c>
      <c r="H96" s="1" t="str">
        <f>CONCATENATE(I96," pzas")</f>
        <v>10 pzas</v>
      </c>
      <c r="I96">
        <v>10</v>
      </c>
      <c r="J96" t="s">
        <v>247</v>
      </c>
      <c r="M96" s="996" t="s">
        <v>175</v>
      </c>
      <c r="N96" s="996"/>
      <c r="O96" s="1" t="s">
        <v>40</v>
      </c>
      <c r="P96" s="1" t="s">
        <v>39</v>
      </c>
      <c r="Q96" s="1" t="s">
        <v>85</v>
      </c>
      <c r="R96" s="1" t="s">
        <v>149</v>
      </c>
      <c r="S96" s="1" t="str">
        <f>CONCATENATE(T96," pzas")</f>
        <v>10 pzas</v>
      </c>
      <c r="T96" s="584">
        <v>10</v>
      </c>
      <c r="U96" t="s">
        <v>247</v>
      </c>
    </row>
    <row r="97" spans="2:21" x14ac:dyDescent="0.25">
      <c r="B97" s="996" t="s">
        <v>338</v>
      </c>
      <c r="C97" s="996"/>
      <c r="D97" s="1">
        <f>0.4*0.5</f>
        <v>0.2</v>
      </c>
      <c r="E97" s="1">
        <v>5.7000000000000002E-2</v>
      </c>
      <c r="F97" s="74">
        <f>D97*E97</f>
        <v>1.14E-2</v>
      </c>
      <c r="G97" s="75">
        <f>F97*1000</f>
        <v>11.4</v>
      </c>
      <c r="H97" s="1">
        <f>G97*I96</f>
        <v>114</v>
      </c>
      <c r="I97" t="s">
        <v>43</v>
      </c>
      <c r="M97" s="996" t="s">
        <v>338</v>
      </c>
      <c r="N97" s="996"/>
      <c r="O97" s="1">
        <f>0.4*0.5</f>
        <v>0.2</v>
      </c>
      <c r="P97" s="1">
        <v>7.2999999999999995E-2</v>
      </c>
      <c r="Q97" s="74">
        <f>O97*P97</f>
        <v>1.46E-2</v>
      </c>
      <c r="R97" s="75">
        <f>Q97*1000</f>
        <v>14.6</v>
      </c>
      <c r="S97" s="1">
        <f>R97*T96</f>
        <v>146</v>
      </c>
      <c r="T97" t="s">
        <v>143</v>
      </c>
    </row>
    <row r="98" spans="2:21" x14ac:dyDescent="0.25">
      <c r="B98" s="996" t="s">
        <v>86</v>
      </c>
      <c r="C98" s="996"/>
      <c r="D98" s="1">
        <f>0.4*0.5</f>
        <v>0.2</v>
      </c>
      <c r="E98" s="76">
        <v>1.2E-2</v>
      </c>
      <c r="F98" s="77">
        <f>D98*E98</f>
        <v>2.4000000000000002E-3</v>
      </c>
      <c r="G98" s="75">
        <f>(F98*7850)*4</f>
        <v>75.360000000000014</v>
      </c>
      <c r="H98" s="1">
        <f>G98*I96</f>
        <v>753.60000000000014</v>
      </c>
      <c r="I98" t="s">
        <v>43</v>
      </c>
      <c r="M98" s="996" t="s">
        <v>86</v>
      </c>
      <c r="N98" s="996"/>
      <c r="O98" s="1">
        <f>0.4*0.5</f>
        <v>0.2</v>
      </c>
      <c r="P98" s="76">
        <v>1.2E-2</v>
      </c>
      <c r="Q98" s="77">
        <f>O98*P98</f>
        <v>2.4000000000000002E-3</v>
      </c>
      <c r="R98" s="75">
        <f>(Q98*7850)*4</f>
        <v>75.360000000000014</v>
      </c>
      <c r="S98" s="1">
        <f>R98*T96</f>
        <v>753.60000000000014</v>
      </c>
      <c r="T98" t="s">
        <v>143</v>
      </c>
    </row>
    <row r="101" spans="2:21" x14ac:dyDescent="0.25">
      <c r="B101" s="996" t="s">
        <v>178</v>
      </c>
      <c r="C101" s="996"/>
      <c r="D101" s="1" t="s">
        <v>40</v>
      </c>
      <c r="E101" s="1" t="s">
        <v>39</v>
      </c>
      <c r="F101" s="1" t="s">
        <v>173</v>
      </c>
      <c r="G101" s="1" t="s">
        <v>149</v>
      </c>
      <c r="H101" s="1" t="s">
        <v>177</v>
      </c>
      <c r="M101" s="996" t="s">
        <v>178</v>
      </c>
      <c r="N101" s="996"/>
      <c r="O101" s="1" t="s">
        <v>40</v>
      </c>
      <c r="P101" s="1" t="s">
        <v>39</v>
      </c>
      <c r="Q101" s="1" t="s">
        <v>173</v>
      </c>
      <c r="R101" s="1" t="s">
        <v>149</v>
      </c>
      <c r="S101" s="1" t="s">
        <v>177</v>
      </c>
    </row>
    <row r="102" spans="2:21" x14ac:dyDescent="0.25">
      <c r="B102" s="996" t="s">
        <v>176</v>
      </c>
      <c r="C102" s="996"/>
      <c r="D102" s="1">
        <f>0.3*0.35</f>
        <v>0.105</v>
      </c>
      <c r="E102" s="1">
        <v>2.5000000000000001E-2</v>
      </c>
      <c r="F102" s="74">
        <f>D102*E102</f>
        <v>2.6250000000000002E-3</v>
      </c>
      <c r="G102" s="75">
        <f>F102*1000</f>
        <v>2.625</v>
      </c>
      <c r="H102" s="1">
        <f>G102*2</f>
        <v>5.25</v>
      </c>
      <c r="I102" t="s">
        <v>43</v>
      </c>
      <c r="M102" s="996" t="s">
        <v>176</v>
      </c>
      <c r="N102" s="996"/>
      <c r="O102" s="1">
        <f>0.3*0.35</f>
        <v>0.105</v>
      </c>
      <c r="P102" s="1">
        <v>2.5000000000000001E-2</v>
      </c>
      <c r="Q102" s="74">
        <f>O102*P102</f>
        <v>2.6250000000000002E-3</v>
      </c>
      <c r="R102" s="75">
        <f>Q102*1000</f>
        <v>2.625</v>
      </c>
      <c r="S102" s="1">
        <f>R102*2</f>
        <v>5.25</v>
      </c>
      <c r="T102" t="s">
        <v>43</v>
      </c>
    </row>
    <row r="103" spans="2:21" x14ac:dyDescent="0.25">
      <c r="B103" s="996" t="s">
        <v>174</v>
      </c>
      <c r="C103" s="996"/>
      <c r="D103" s="1">
        <f>0.3*0.35</f>
        <v>0.105</v>
      </c>
      <c r="E103" s="76">
        <v>1.2999999999999999E-2</v>
      </c>
      <c r="F103" s="77">
        <f>D103*E103</f>
        <v>1.3649999999999999E-3</v>
      </c>
      <c r="G103" s="75">
        <f>(F103*7850)*2</f>
        <v>21.430499999999999</v>
      </c>
      <c r="H103" s="1">
        <f>G103*2</f>
        <v>42.860999999999997</v>
      </c>
      <c r="I103" t="s">
        <v>43</v>
      </c>
      <c r="M103" s="996" t="s">
        <v>174</v>
      </c>
      <c r="N103" s="996"/>
      <c r="O103" s="1">
        <f>0.3*0.35</f>
        <v>0.105</v>
      </c>
      <c r="P103" s="76">
        <v>1.2999999999999999E-2</v>
      </c>
      <c r="Q103" s="77">
        <f>O103*P103</f>
        <v>1.3649999999999999E-3</v>
      </c>
      <c r="R103" s="75">
        <f>(Q103*7850)*2</f>
        <v>21.430499999999999</v>
      </c>
      <c r="S103" s="1">
        <f>R103*2</f>
        <v>42.860999999999997</v>
      </c>
      <c r="T103" t="s">
        <v>43</v>
      </c>
    </row>
    <row r="104" spans="2:21" ht="15.75" thickBot="1" x14ac:dyDescent="0.3"/>
    <row r="105" spans="2:21" ht="15.75" thickBot="1" x14ac:dyDescent="0.3">
      <c r="F105" s="1037" t="s">
        <v>179</v>
      </c>
      <c r="G105" s="1038"/>
      <c r="H105" s="373">
        <f>H102+H97</f>
        <v>119.25</v>
      </c>
      <c r="I105" s="374" t="s">
        <v>339</v>
      </c>
      <c r="J105" t="s">
        <v>43</v>
      </c>
      <c r="Q105" s="1039" t="s">
        <v>179</v>
      </c>
      <c r="R105" s="1040"/>
      <c r="S105" s="373">
        <f>S102+S97</f>
        <v>151.25</v>
      </c>
      <c r="T105" s="374" t="s">
        <v>339</v>
      </c>
      <c r="U105" t="s">
        <v>43</v>
      </c>
    </row>
    <row r="108" spans="2:21" x14ac:dyDescent="0.25">
      <c r="D108" s="343"/>
      <c r="E108" s="343"/>
    </row>
    <row r="109" spans="2:21" x14ac:dyDescent="0.25">
      <c r="D109" s="354"/>
      <c r="E109" s="355"/>
    </row>
    <row r="110" spans="2:21" x14ac:dyDescent="0.25">
      <c r="D110" s="343"/>
      <c r="E110" s="343"/>
    </row>
    <row r="111" spans="2:21" x14ac:dyDescent="0.25">
      <c r="D111" s="343"/>
      <c r="E111" s="343"/>
    </row>
    <row r="112" spans="2:21" x14ac:dyDescent="0.25">
      <c r="D112" s="343"/>
      <c r="E112" s="343"/>
    </row>
    <row r="113" spans="4:5" x14ac:dyDescent="0.25">
      <c r="D113" s="343"/>
      <c r="E113" s="343"/>
    </row>
  </sheetData>
  <mergeCells count="81">
    <mergeCell ref="L66:M66"/>
    <mergeCell ref="L67:M67"/>
    <mergeCell ref="N66:O66"/>
    <mergeCell ref="N67:O67"/>
    <mergeCell ref="B103:C103"/>
    <mergeCell ref="B78:C78"/>
    <mergeCell ref="B80:C80"/>
    <mergeCell ref="G78:G80"/>
    <mergeCell ref="H78:H80"/>
    <mergeCell ref="M96:N96"/>
    <mergeCell ref="B97:C97"/>
    <mergeCell ref="B96:C96"/>
    <mergeCell ref="B91:C91"/>
    <mergeCell ref="B98:C98"/>
    <mergeCell ref="B101:C101"/>
    <mergeCell ref="B102:C102"/>
    <mergeCell ref="J58:K58"/>
    <mergeCell ref="F59:G59"/>
    <mergeCell ref="H59:I59"/>
    <mergeCell ref="J59:K59"/>
    <mergeCell ref="H60:I60"/>
    <mergeCell ref="H58:I58"/>
    <mergeCell ref="B92:C92"/>
    <mergeCell ref="B93:E93"/>
    <mergeCell ref="B89:C89"/>
    <mergeCell ref="B90:C90"/>
    <mergeCell ref="F60:G60"/>
    <mergeCell ref="B77:C77"/>
    <mergeCell ref="B72:G72"/>
    <mergeCell ref="B74:G74"/>
    <mergeCell ref="A1:K1"/>
    <mergeCell ref="F3:G3"/>
    <mergeCell ref="F4:F6"/>
    <mergeCell ref="A35:A38"/>
    <mergeCell ref="A27:A34"/>
    <mergeCell ref="A13:A26"/>
    <mergeCell ref="F26:G26"/>
    <mergeCell ref="B13:B15"/>
    <mergeCell ref="C15:E15"/>
    <mergeCell ref="B16:B18"/>
    <mergeCell ref="B19:B21"/>
    <mergeCell ref="B22:B24"/>
    <mergeCell ref="C18:E18"/>
    <mergeCell ref="C21:E21"/>
    <mergeCell ref="C24:E24"/>
    <mergeCell ref="A4:A12"/>
    <mergeCell ref="M47:N47"/>
    <mergeCell ref="B40:E40"/>
    <mergeCell ref="B41:E41"/>
    <mergeCell ref="B43:E43"/>
    <mergeCell ref="B44:E44"/>
    <mergeCell ref="J41:K41"/>
    <mergeCell ref="B46:E46"/>
    <mergeCell ref="B47:E47"/>
    <mergeCell ref="F105:G105"/>
    <mergeCell ref="Q105:R105"/>
    <mergeCell ref="M97:N97"/>
    <mergeCell ref="M98:N98"/>
    <mergeCell ref="M101:N101"/>
    <mergeCell ref="M102:N102"/>
    <mergeCell ref="M103:N103"/>
    <mergeCell ref="A81:A84"/>
    <mergeCell ref="B85:C85"/>
    <mergeCell ref="B86:C86"/>
    <mergeCell ref="B87:C87"/>
    <mergeCell ref="B88:C88"/>
    <mergeCell ref="A85:A88"/>
    <mergeCell ref="B81:C81"/>
    <mergeCell ref="B82:C82"/>
    <mergeCell ref="B83:C83"/>
    <mergeCell ref="B84:C84"/>
    <mergeCell ref="F27:G29"/>
    <mergeCell ref="B79:C79"/>
    <mergeCell ref="F35:G35"/>
    <mergeCell ref="F36:G36"/>
    <mergeCell ref="B9:B11"/>
    <mergeCell ref="C11:E11"/>
    <mergeCell ref="B51:E51"/>
    <mergeCell ref="B50:E50"/>
    <mergeCell ref="B54:E54"/>
    <mergeCell ref="F58:G58"/>
  </mergeCells>
  <pageMargins left="0.7" right="0.7" top="0.75" bottom="0.75" header="0.3" footer="0.3"/>
  <pageSetup orientation="portrait" r:id="rId1"/>
  <drawing r:id="rId2"/>
  <legacyDrawing r:id="rId3"/>
  <oleObjects>
    <mc:AlternateContent xmlns:mc="http://schemas.openxmlformats.org/markup-compatibility/2006">
      <mc:Choice Requires="x14">
        <oleObject progId="AutoCAD.Drawing.19" shapeId="94209" r:id="rId4">
          <objectPr defaultSize="0" autoPict="0" r:id="rId5">
            <anchor moveWithCells="1">
              <from>
                <xdr:col>5</xdr:col>
                <xdr:colOff>247650</xdr:colOff>
                <xdr:row>36</xdr:row>
                <xdr:rowOff>57150</xdr:rowOff>
              </from>
              <to>
                <xdr:col>6</xdr:col>
                <xdr:colOff>371475</xdr:colOff>
                <xdr:row>38</xdr:row>
                <xdr:rowOff>85725</xdr:rowOff>
              </to>
            </anchor>
          </objectPr>
        </oleObject>
      </mc:Choice>
      <mc:Fallback>
        <oleObject progId="AutoCAD.Drawing.19" shapeId="94209" r:id="rId4"/>
      </mc:Fallback>
    </mc:AlternateContent>
    <mc:AlternateContent xmlns:mc="http://schemas.openxmlformats.org/markup-compatibility/2006">
      <mc:Choice Requires="x14">
        <oleObject progId="AutoCAD.Drawing.19" shapeId="94210" r:id="rId6">
          <objectPr defaultSize="0" autoPict="0" r:id="rId7">
            <anchor moveWithCells="1">
              <from>
                <xdr:col>5</xdr:col>
                <xdr:colOff>647700</xdr:colOff>
                <xdr:row>34</xdr:row>
                <xdr:rowOff>0</xdr:rowOff>
              </from>
              <to>
                <xdr:col>6</xdr:col>
                <xdr:colOff>38100</xdr:colOff>
                <xdr:row>34</xdr:row>
                <xdr:rowOff>1866900</xdr:rowOff>
              </to>
            </anchor>
          </objectPr>
        </oleObject>
      </mc:Choice>
      <mc:Fallback>
        <oleObject progId="AutoCAD.Drawing.19" shapeId="94210" r:id="rId6"/>
      </mc:Fallback>
    </mc:AlternateContent>
    <mc:AlternateContent xmlns:mc="http://schemas.openxmlformats.org/markup-compatibility/2006">
      <mc:Choice Requires="x14">
        <oleObject progId="AutoCAD.Drawing.19" shapeId="94211" r:id="rId8">
          <objectPr defaultSize="0" autoPict="0" r:id="rId5">
            <anchor moveWithCells="1">
              <from>
                <xdr:col>5</xdr:col>
                <xdr:colOff>257175</xdr:colOff>
                <xdr:row>3</xdr:row>
                <xdr:rowOff>28575</xdr:rowOff>
              </from>
              <to>
                <xdr:col>6</xdr:col>
                <xdr:colOff>371475</xdr:colOff>
                <xdr:row>7</xdr:row>
                <xdr:rowOff>123825</xdr:rowOff>
              </to>
            </anchor>
          </objectPr>
        </oleObject>
      </mc:Choice>
      <mc:Fallback>
        <oleObject progId="AutoCAD.Drawing.19" shapeId="94211" r:id="rId8"/>
      </mc:Fallback>
    </mc:AlternateContent>
    <mc:AlternateContent xmlns:mc="http://schemas.openxmlformats.org/markup-compatibility/2006">
      <mc:Choice Requires="x14">
        <oleObject progId="AutoCAD.Drawing.19" shapeId="94212" r:id="rId9">
          <objectPr defaultSize="0" autoPict="0" r:id="rId10">
            <anchor moveWithCells="1">
              <from>
                <xdr:col>5</xdr:col>
                <xdr:colOff>523875</xdr:colOff>
                <xdr:row>7</xdr:row>
                <xdr:rowOff>95250</xdr:rowOff>
              </from>
              <to>
                <xdr:col>5</xdr:col>
                <xdr:colOff>2581275</xdr:colOff>
                <xdr:row>11</xdr:row>
                <xdr:rowOff>276225</xdr:rowOff>
              </to>
            </anchor>
          </objectPr>
        </oleObject>
      </mc:Choice>
      <mc:Fallback>
        <oleObject progId="AutoCAD.Drawing.19" shapeId="94212" r:id="rId9"/>
      </mc:Fallback>
    </mc:AlternateContent>
    <mc:AlternateContent xmlns:mc="http://schemas.openxmlformats.org/markup-compatibility/2006">
      <mc:Choice Requires="x14">
        <oleObject progId="AutoCAD.Drawing.19" shapeId="94214" r:id="rId11">
          <objectPr defaultSize="0" autoPict="0" r:id="rId5">
            <anchor moveWithCells="1">
              <from>
                <xdr:col>5</xdr:col>
                <xdr:colOff>0</xdr:colOff>
                <xdr:row>15</xdr:row>
                <xdr:rowOff>66675</xdr:rowOff>
              </from>
              <to>
                <xdr:col>6</xdr:col>
                <xdr:colOff>114300</xdr:colOff>
                <xdr:row>20</xdr:row>
                <xdr:rowOff>9525</xdr:rowOff>
              </to>
            </anchor>
          </objectPr>
        </oleObject>
      </mc:Choice>
      <mc:Fallback>
        <oleObject progId="AutoCAD.Drawing.19" shapeId="94214" r:id="rId11"/>
      </mc:Fallback>
    </mc:AlternateContent>
    <mc:AlternateContent xmlns:mc="http://schemas.openxmlformats.org/markup-compatibility/2006">
      <mc:Choice Requires="x14">
        <oleObject progId="AutoCAD.Drawing.19" shapeId="94215" r:id="rId12">
          <objectPr defaultSize="0" autoPict="0" r:id="rId10">
            <anchor moveWithCells="1">
              <from>
                <xdr:col>5</xdr:col>
                <xdr:colOff>704850</xdr:colOff>
                <xdr:row>23</xdr:row>
                <xdr:rowOff>171450</xdr:rowOff>
              </from>
              <to>
                <xdr:col>5</xdr:col>
                <xdr:colOff>2790825</xdr:colOff>
                <xdr:row>25</xdr:row>
                <xdr:rowOff>762000</xdr:rowOff>
              </to>
            </anchor>
          </objectPr>
        </oleObject>
      </mc:Choice>
      <mc:Fallback>
        <oleObject progId="AutoCAD.Drawing.19" shapeId="94215" r:id="rId12"/>
      </mc:Fallback>
    </mc:AlternateContent>
    <mc:AlternateContent xmlns:mc="http://schemas.openxmlformats.org/markup-compatibility/2006">
      <mc:Choice Requires="x14">
        <oleObject progId="AutoCAD.Drawing.19" shapeId="94216" r:id="rId13">
          <objectPr defaultSize="0" autoPict="0" r:id="rId5">
            <anchor moveWithCells="1">
              <from>
                <xdr:col>5</xdr:col>
                <xdr:colOff>247650</xdr:colOff>
                <xdr:row>29</xdr:row>
                <xdr:rowOff>171450</xdr:rowOff>
              </from>
              <to>
                <xdr:col>6</xdr:col>
                <xdr:colOff>352425</xdr:colOff>
                <xdr:row>33</xdr:row>
                <xdr:rowOff>219075</xdr:rowOff>
              </to>
            </anchor>
          </objectPr>
        </oleObject>
      </mc:Choice>
      <mc:Fallback>
        <oleObject progId="AutoCAD.Drawing.19" shapeId="94216" r:id="rId13"/>
      </mc:Fallback>
    </mc:AlternateContent>
    <mc:AlternateContent xmlns:mc="http://schemas.openxmlformats.org/markup-compatibility/2006">
      <mc:Choice Requires="x14">
        <oleObject progId="AutoCAD.Drawing.19" shapeId="94217" r:id="rId14">
          <objectPr defaultSize="0" autoPict="0" r:id="rId10">
            <anchor moveWithCells="1">
              <from>
                <xdr:col>5</xdr:col>
                <xdr:colOff>762000</xdr:colOff>
                <xdr:row>25</xdr:row>
                <xdr:rowOff>790575</xdr:rowOff>
              </from>
              <to>
                <xdr:col>5</xdr:col>
                <xdr:colOff>2743200</xdr:colOff>
                <xdr:row>28</xdr:row>
                <xdr:rowOff>457200</xdr:rowOff>
              </to>
            </anchor>
          </objectPr>
        </oleObject>
      </mc:Choice>
      <mc:Fallback>
        <oleObject progId="AutoCAD.Drawing.19" shapeId="94217" r:id="rId1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102"/>
  <sheetViews>
    <sheetView showGridLines="0" topLeftCell="A35" zoomScale="85" zoomScaleNormal="85" workbookViewId="0">
      <selection activeCell="J58" sqref="J58"/>
    </sheetView>
  </sheetViews>
  <sheetFormatPr baseColWidth="10" defaultRowHeight="15" x14ac:dyDescent="0.25"/>
  <cols>
    <col min="1" max="1" width="4.85546875" customWidth="1"/>
    <col min="2" max="2" width="9.7109375" customWidth="1"/>
    <col min="3" max="3" width="13.5703125" customWidth="1"/>
    <col min="4" max="4" width="11" customWidth="1"/>
    <col min="5" max="5" width="12.28515625" customWidth="1"/>
    <col min="6" max="6" width="44.140625" customWidth="1"/>
    <col min="7" max="7" width="6.85546875" customWidth="1"/>
    <col min="8" max="8" width="10.42578125" customWidth="1"/>
    <col min="9" max="9" width="7.5703125" customWidth="1"/>
    <col min="10" max="10" width="9.28515625" customWidth="1"/>
    <col min="11" max="11" width="10.140625" customWidth="1"/>
    <col min="12" max="12" width="5.85546875" style="308" customWidth="1"/>
    <col min="13" max="13" width="11" customWidth="1"/>
    <col min="14" max="14" width="5.28515625" customWidth="1"/>
    <col min="15" max="15" width="16.28515625" customWidth="1"/>
    <col min="16" max="16" width="17.85546875" customWidth="1"/>
    <col min="17" max="17" width="10.140625" customWidth="1"/>
  </cols>
  <sheetData>
    <row r="1" spans="1:19" ht="19.5" thickBot="1" x14ac:dyDescent="0.35">
      <c r="A1" s="1067" t="s">
        <v>390</v>
      </c>
      <c r="B1" s="1068"/>
      <c r="C1" s="1068"/>
      <c r="D1" s="1068"/>
      <c r="E1" s="1068"/>
      <c r="F1" s="1068"/>
      <c r="G1" s="1068"/>
      <c r="H1" s="1068"/>
      <c r="I1" s="1068"/>
      <c r="J1" s="1068"/>
      <c r="K1" s="1069"/>
    </row>
    <row r="2" spans="1:19" ht="15.75" thickBot="1" x14ac:dyDescent="0.3">
      <c r="A2" s="5"/>
      <c r="B2" s="6"/>
      <c r="C2" s="6"/>
      <c r="D2" s="6"/>
      <c r="E2" s="6"/>
      <c r="F2" s="6"/>
      <c r="G2" s="6"/>
      <c r="H2" s="6"/>
      <c r="I2" s="6"/>
      <c r="J2" s="6"/>
      <c r="K2" s="7"/>
    </row>
    <row r="3" spans="1:19" ht="30.75" thickBot="1" x14ac:dyDescent="0.3">
      <c r="A3" s="246" t="s">
        <v>0</v>
      </c>
      <c r="B3" s="330" t="s">
        <v>1</v>
      </c>
      <c r="C3" s="330" t="s">
        <v>2</v>
      </c>
      <c r="D3" s="330" t="s">
        <v>3</v>
      </c>
      <c r="E3" s="330" t="s">
        <v>4</v>
      </c>
      <c r="F3" s="1070" t="s">
        <v>5</v>
      </c>
      <c r="G3" s="1071"/>
      <c r="H3" s="330" t="s">
        <v>7</v>
      </c>
      <c r="I3" s="330" t="s">
        <v>8</v>
      </c>
      <c r="J3" s="330" t="s">
        <v>28</v>
      </c>
      <c r="K3" s="247" t="s">
        <v>9</v>
      </c>
      <c r="L3" s="593"/>
      <c r="O3" s="238" t="s">
        <v>19</v>
      </c>
      <c r="P3" s="239" t="s">
        <v>20</v>
      </c>
      <c r="Q3" s="239" t="s">
        <v>25</v>
      </c>
      <c r="R3" s="240" t="s">
        <v>311</v>
      </c>
      <c r="S3" s="241" t="s">
        <v>312</v>
      </c>
    </row>
    <row r="4" spans="1:19" ht="27" customHeight="1" thickBot="1" x14ac:dyDescent="0.3">
      <c r="A4" s="973" t="s">
        <v>10</v>
      </c>
      <c r="B4" s="895" t="s">
        <v>6</v>
      </c>
      <c r="C4" s="248" t="s">
        <v>286</v>
      </c>
      <c r="D4" s="248">
        <f>(20*2)</f>
        <v>40</v>
      </c>
      <c r="E4" s="272">
        <f t="shared" ref="E4:E7" si="0">H4+(I4*2)+(J4*2)</f>
        <v>1706</v>
      </c>
      <c r="F4" s="977"/>
      <c r="G4" s="326"/>
      <c r="H4" s="324">
        <f>1600-(2*5)-(2*VLOOKUP(C4,$O$4:$S$11,4,FALSE))</f>
        <v>1562</v>
      </c>
      <c r="I4" s="248">
        <v>50</v>
      </c>
      <c r="J4" s="248">
        <f>VLOOKUP(C4,$O$4:$S$11,5,FALSE)</f>
        <v>22</v>
      </c>
      <c r="K4" s="250">
        <f>(E4/100)*D4*VLOOKUP(C4,$O$4:$S$11,3,FALSE)</f>
        <v>6099.2912000000006</v>
      </c>
      <c r="L4" s="593" t="s">
        <v>43</v>
      </c>
      <c r="M4" s="598"/>
      <c r="N4" s="598"/>
      <c r="O4" s="235" t="s">
        <v>243</v>
      </c>
      <c r="P4" s="236" t="s">
        <v>21</v>
      </c>
      <c r="Q4" s="262">
        <v>0.55700000000000005</v>
      </c>
      <c r="R4" s="237">
        <f>ROUNDUP((3/8*2.54*3.5),0)</f>
        <v>4</v>
      </c>
      <c r="S4" s="260">
        <f>ROUND(+PI()*R4*2/4,0)</f>
        <v>6</v>
      </c>
    </row>
    <row r="5" spans="1:19" ht="27" customHeight="1" thickBot="1" x14ac:dyDescent="0.3">
      <c r="A5" s="975"/>
      <c r="B5" s="896" t="s">
        <v>255</v>
      </c>
      <c r="C5" s="611" t="s">
        <v>286</v>
      </c>
      <c r="D5" s="611">
        <f>20*2</f>
        <v>40</v>
      </c>
      <c r="E5" s="613">
        <f t="shared" si="0"/>
        <v>1156</v>
      </c>
      <c r="F5" s="978"/>
      <c r="G5" s="322"/>
      <c r="H5" s="325">
        <f>1050-(2*5)-(2*VLOOKUP(C5,$O$4:$S$11,4,FALSE))</f>
        <v>1012</v>
      </c>
      <c r="I5" s="611">
        <v>50</v>
      </c>
      <c r="J5" s="611">
        <f>VLOOKUP(C5,$O$4:$S$11,5,FALSE)</f>
        <v>22</v>
      </c>
      <c r="K5" s="215">
        <f>(E5/100)*D5*VLOOKUP(C5,$O$4:$S$11,3,FALSE)</f>
        <v>4132.9312000000009</v>
      </c>
      <c r="L5" s="593" t="s">
        <v>43</v>
      </c>
      <c r="M5" s="598"/>
      <c r="N5" s="598"/>
      <c r="O5" s="609" t="s">
        <v>18</v>
      </c>
      <c r="P5" s="220" t="s">
        <v>22</v>
      </c>
      <c r="Q5" s="263">
        <v>0.996</v>
      </c>
      <c r="R5" s="599">
        <f>ROUNDUP((4/8*2.54*3.5),0)</f>
        <v>5</v>
      </c>
      <c r="S5" s="259">
        <f t="shared" ref="S5" si="1">ROUND(+PI()*R5*2/4,0)</f>
        <v>8</v>
      </c>
    </row>
    <row r="6" spans="1:19" ht="27" customHeight="1" thickBot="1" x14ac:dyDescent="0.3">
      <c r="A6" s="975"/>
      <c r="B6" s="896" t="s">
        <v>11</v>
      </c>
      <c r="C6" s="611" t="s">
        <v>17</v>
      </c>
      <c r="D6" s="611">
        <f>9*2</f>
        <v>18</v>
      </c>
      <c r="E6" s="613">
        <f t="shared" si="0"/>
        <v>1590</v>
      </c>
      <c r="F6" s="978"/>
      <c r="G6" s="322"/>
      <c r="H6" s="325">
        <f>1600-(2*5)</f>
        <v>1590</v>
      </c>
      <c r="I6" s="611"/>
      <c r="J6" s="611"/>
      <c r="K6" s="215">
        <f>(E6/100)*D6*VLOOKUP(C6,$O$4:$S$11,3,FALSE)</f>
        <v>639.65699999999993</v>
      </c>
      <c r="L6" s="593" t="s">
        <v>43</v>
      </c>
      <c r="M6" s="598"/>
      <c r="N6" s="598"/>
      <c r="O6" s="610" t="s">
        <v>244</v>
      </c>
      <c r="P6" s="231" t="s">
        <v>23</v>
      </c>
      <c r="Q6" s="262">
        <v>1.55</v>
      </c>
      <c r="R6" s="232">
        <f>ROUNDUP((5/8*2.54*3.5),0)</f>
        <v>6</v>
      </c>
      <c r="S6" s="261">
        <f>ROUND(+PI()*R6*2/4,0)</f>
        <v>9</v>
      </c>
    </row>
    <row r="7" spans="1:19" ht="27" customHeight="1" thickBot="1" x14ac:dyDescent="0.3">
      <c r="A7" s="975"/>
      <c r="B7" s="896" t="s">
        <v>263</v>
      </c>
      <c r="C7" s="611" t="s">
        <v>16</v>
      </c>
      <c r="D7" s="611">
        <f>9*2</f>
        <v>18</v>
      </c>
      <c r="E7" s="613">
        <f t="shared" si="0"/>
        <v>1040</v>
      </c>
      <c r="F7" s="589"/>
      <c r="G7" s="322"/>
      <c r="H7" s="325">
        <f>1050-(2*5)</f>
        <v>1040</v>
      </c>
      <c r="I7" s="611"/>
      <c r="J7" s="611"/>
      <c r="K7" s="215">
        <f>(E7/100)*D7*VLOOKUP(C7,$O$4:$S$11,3,FALSE)</f>
        <v>746.92800000000011</v>
      </c>
      <c r="L7" s="593" t="s">
        <v>43</v>
      </c>
      <c r="M7" s="598"/>
      <c r="N7" s="598"/>
      <c r="O7" s="609" t="s">
        <v>17</v>
      </c>
      <c r="P7" s="220" t="s">
        <v>24</v>
      </c>
      <c r="Q7" s="263">
        <v>2.2349999999999999</v>
      </c>
      <c r="R7" s="599">
        <f>ROUNDUP((6/8*2.54*3.5),0)</f>
        <v>7</v>
      </c>
      <c r="S7" s="259">
        <f>ROUND(+PI()*R7*2/4,0)</f>
        <v>11</v>
      </c>
    </row>
    <row r="8" spans="1:19" ht="27.75" customHeight="1" thickBot="1" x14ac:dyDescent="0.3">
      <c r="A8" s="975"/>
      <c r="B8" s="896" t="s">
        <v>12</v>
      </c>
      <c r="C8" s="611" t="s">
        <v>18</v>
      </c>
      <c r="D8" s="611">
        <v>164</v>
      </c>
      <c r="E8" s="613">
        <f t="shared" ref="E8:E12" si="2">(H8*2)+(I8*2)+(J8*5)+20</f>
        <v>720</v>
      </c>
      <c r="F8" s="323"/>
      <c r="G8" s="323"/>
      <c r="H8" s="280">
        <f>200-(2*5)-(2*VLOOKUP(C8,$O$4:$S$11,4,FALSE))</f>
        <v>180</v>
      </c>
      <c r="I8" s="226">
        <f>170-(2*5)-(2*VLOOKUP(C8,$O$4:$S$11,4,FALSE))</f>
        <v>150</v>
      </c>
      <c r="J8" s="611">
        <f>VLOOKUP(C8,$O$4:$S$11,5,FALSE)</f>
        <v>8</v>
      </c>
      <c r="K8" s="215">
        <f>(E8/100)*D8*VLOOKUP(C8,$O$4:$S$10,3,FALSE)</f>
        <v>1176.0768</v>
      </c>
      <c r="L8" s="593" t="s">
        <v>43</v>
      </c>
      <c r="M8" s="719" t="s">
        <v>242</v>
      </c>
      <c r="N8" s="598"/>
      <c r="O8" s="610" t="s">
        <v>16</v>
      </c>
      <c r="P8" s="233">
        <v>1</v>
      </c>
      <c r="Q8" s="262">
        <v>3.99</v>
      </c>
      <c r="R8" s="232">
        <f>ROUNDUP((8/8*2.54*3.5),0)</f>
        <v>9</v>
      </c>
      <c r="S8" s="260">
        <f>ROUND(+PI()*R8*2/4,0)</f>
        <v>14</v>
      </c>
    </row>
    <row r="9" spans="1:19" ht="27.75" customHeight="1" thickBot="1" x14ac:dyDescent="0.3">
      <c r="A9" s="975"/>
      <c r="B9" s="1079" t="s">
        <v>399</v>
      </c>
      <c r="C9" s="710" t="s">
        <v>18</v>
      </c>
      <c r="D9" s="710">
        <v>4</v>
      </c>
      <c r="E9" s="711">
        <f>(H9*2)+(I9*2)+(J9*5)+20</f>
        <v>678</v>
      </c>
      <c r="F9" s="252"/>
      <c r="G9" s="427" t="s">
        <v>31</v>
      </c>
      <c r="H9" s="280">
        <f>169-(2*VLOOKUP(C9,$O$4:$S$10,4,FALSE))</f>
        <v>159</v>
      </c>
      <c r="I9" s="226">
        <f>170-(2*5)-(2*VLOOKUP(C9,$O$4:$S$10,4,FALSE))</f>
        <v>150</v>
      </c>
      <c r="J9" s="710">
        <f>VLOOKUP(C9,$O$5:$S$11,5,FALSE)</f>
        <v>8</v>
      </c>
      <c r="K9" s="716">
        <f>(((E9+E10)/2)/100)*D9*VLOOKUP(C9,$O$4:$S$10,3,FALSE)*M9</f>
        <v>127.88639999999999</v>
      </c>
      <c r="L9" s="707" t="s">
        <v>43</v>
      </c>
      <c r="M9" s="632">
        <v>6</v>
      </c>
      <c r="N9" s="598"/>
      <c r="O9" s="609" t="s">
        <v>290</v>
      </c>
      <c r="P9" s="221">
        <v>1.25</v>
      </c>
      <c r="Q9" s="263">
        <v>6.2249999999999996</v>
      </c>
      <c r="R9" s="599">
        <f>ROUNDUP((10/8*2.54*3.5),0)</f>
        <v>12</v>
      </c>
      <c r="S9" s="259">
        <f>ROUND(+PI()*R9*2/4,0)</f>
        <v>19</v>
      </c>
    </row>
    <row r="10" spans="1:19" ht="27.75" customHeight="1" thickBot="1" x14ac:dyDescent="0.3">
      <c r="A10" s="975"/>
      <c r="B10" s="1080"/>
      <c r="C10" s="710"/>
      <c r="D10" s="710"/>
      <c r="E10" s="711">
        <f>(H10*2)+(I10*2)+(J10*5)+20</f>
        <v>392</v>
      </c>
      <c r="F10" s="252"/>
      <c r="G10" s="427" t="s">
        <v>32</v>
      </c>
      <c r="H10" s="280">
        <f>26-(2*VLOOKUP(C9,$O$4:$S$10,4,FALSE))</f>
        <v>16</v>
      </c>
      <c r="I10" s="226">
        <f>170-(2*5)-(2*VLOOKUP(C9,$O$4:$S$10,4,FALSE))</f>
        <v>150</v>
      </c>
      <c r="J10" s="710">
        <f>VLOOKUP(C9,$O$5:$S$11,5,FALSE)</f>
        <v>8</v>
      </c>
      <c r="K10" s="717"/>
      <c r="L10" s="707"/>
      <c r="M10" s="708"/>
      <c r="N10" s="708"/>
      <c r="O10" s="610" t="s">
        <v>286</v>
      </c>
      <c r="P10" s="234">
        <v>1.5</v>
      </c>
      <c r="Q10" s="262">
        <v>8.9380000000000006</v>
      </c>
      <c r="R10" s="232">
        <f>ROUNDUP((12/8*2.54*3.5),0)</f>
        <v>14</v>
      </c>
      <c r="S10" s="258">
        <f>ROUND(+PI()*R10*2/4,0)</f>
        <v>22</v>
      </c>
    </row>
    <row r="11" spans="1:19" ht="27.75" customHeight="1" thickBot="1" x14ac:dyDescent="0.3">
      <c r="A11" s="975"/>
      <c r="B11" s="1081"/>
      <c r="C11" s="1018" t="str">
        <f>CONCATENATE(M9," juegos de ",D9," vars.")</f>
        <v>6 juegos de 4 vars.</v>
      </c>
      <c r="D11" s="1018"/>
      <c r="E11" s="1019"/>
      <c r="F11" s="252"/>
      <c r="G11" s="427" t="s">
        <v>88</v>
      </c>
      <c r="H11" s="439">
        <f>(H9-H10)/(D9-1)</f>
        <v>47.666666666666664</v>
      </c>
      <c r="I11" s="8"/>
      <c r="J11" s="710"/>
      <c r="K11" s="717"/>
      <c r="L11" s="707"/>
      <c r="N11" s="708"/>
      <c r="O11" s="709"/>
      <c r="P11" s="221"/>
      <c r="Q11" s="263"/>
      <c r="R11" s="706"/>
      <c r="S11" s="741"/>
    </row>
    <row r="12" spans="1:19" ht="27.75" customHeight="1" thickBot="1" x14ac:dyDescent="0.3">
      <c r="A12" s="975"/>
      <c r="B12" s="896" t="s">
        <v>13</v>
      </c>
      <c r="C12" s="611" t="s">
        <v>18</v>
      </c>
      <c r="D12" s="611">
        <f>(D8*4)+32</f>
        <v>688</v>
      </c>
      <c r="E12" s="613">
        <f t="shared" si="2"/>
        <v>416</v>
      </c>
      <c r="F12" s="252"/>
      <c r="G12" s="252"/>
      <c r="H12" s="280">
        <f>28-(2*VLOOKUP(C12,$O$4:$S$11,4,FALSE))</f>
        <v>18</v>
      </c>
      <c r="I12" s="226">
        <f>170-(2*VLOOKUP(C12,$O$4:$S$11,4,FALSE))</f>
        <v>160</v>
      </c>
      <c r="J12" s="611">
        <f>VLOOKUP(C12,$O$4:$S$11,5,FALSE)</f>
        <v>8</v>
      </c>
      <c r="K12" s="215">
        <f>(E12/100)*D12*VLOOKUP(C12,$O$4:$S$11,3,FALSE)</f>
        <v>2850.63168</v>
      </c>
      <c r="L12" s="593" t="s">
        <v>43</v>
      </c>
      <c r="M12" s="719" t="s">
        <v>242</v>
      </c>
      <c r="N12" s="598"/>
    </row>
    <row r="13" spans="1:19" ht="21.75" customHeight="1" x14ac:dyDescent="0.25">
      <c r="A13" s="1072" t="s">
        <v>26</v>
      </c>
      <c r="B13" s="1073" t="s">
        <v>98</v>
      </c>
      <c r="C13" s="248" t="s">
        <v>18</v>
      </c>
      <c r="D13" s="248">
        <v>6</v>
      </c>
      <c r="E13" s="272">
        <f>H13+(I13*2)+(J13*2)</f>
        <v>189.4</v>
      </c>
      <c r="F13" s="590"/>
      <c r="G13" s="649" t="s">
        <v>31</v>
      </c>
      <c r="H13" s="636">
        <f>79-(2*5)-2*(VLOOKUP(C13,$O$3:$S$11,4,FALSE))</f>
        <v>59</v>
      </c>
      <c r="I13" s="635">
        <f>(35.2+30)-3-(VLOOKUP(C13,$O$4:$S$11,4,FALSE))</f>
        <v>57.2</v>
      </c>
      <c r="J13" s="248">
        <f>VLOOKUP(C13,$O$4:$S$11,5,FALSE)</f>
        <v>8</v>
      </c>
      <c r="K13" s="104">
        <f>(((E13+E14)/2)/100)*D13*VLOOKUP(C13,$O$4:$S$11,3,FALSE)*M13</f>
        <v>98.125920000000008</v>
      </c>
      <c r="L13" s="593" t="s">
        <v>43</v>
      </c>
      <c r="M13" s="632">
        <v>10</v>
      </c>
      <c r="N13" s="628"/>
    </row>
    <row r="14" spans="1:19" ht="21.75" customHeight="1" x14ac:dyDescent="0.25">
      <c r="A14" s="1044"/>
      <c r="B14" s="1074"/>
      <c r="C14" s="605"/>
      <c r="D14" s="611"/>
      <c r="E14" s="613">
        <f>H14+(I14*2)+(J14*2)</f>
        <v>139</v>
      </c>
      <c r="F14" s="592"/>
      <c r="G14" s="427" t="s">
        <v>32</v>
      </c>
      <c r="H14" s="600">
        <f>79-(2*5)-2*(VLOOKUP(C13,$O$3:$S$11,4,FALSE))</f>
        <v>59</v>
      </c>
      <c r="I14" s="222">
        <f>(10+30)-3-(VLOOKUP(C13,$O$4:$S$11,4,FALSE))</f>
        <v>32</v>
      </c>
      <c r="J14" s="611">
        <f>VLOOKUP(C13,$O$4:$S$11,5,FALSE)</f>
        <v>8</v>
      </c>
      <c r="K14" s="612"/>
      <c r="L14" s="593"/>
      <c r="M14" s="598"/>
      <c r="N14" s="628"/>
    </row>
    <row r="15" spans="1:19" ht="21.75" customHeight="1" x14ac:dyDescent="0.25">
      <c r="A15" s="1044"/>
      <c r="B15" s="1074"/>
      <c r="C15" s="1018" t="str">
        <f>CONCATENATE(M13," juegos de ",D13," vars.")</f>
        <v>10 juegos de 6 vars.</v>
      </c>
      <c r="D15" s="1018"/>
      <c r="E15" s="1019"/>
      <c r="F15" s="592"/>
      <c r="G15" s="427" t="s">
        <v>88</v>
      </c>
      <c r="H15" s="4"/>
      <c r="I15" s="631">
        <f>(I13-I14)/(D13-1)</f>
        <v>5.0400000000000009</v>
      </c>
      <c r="J15" s="611"/>
      <c r="K15" s="612"/>
      <c r="L15" s="593"/>
      <c r="M15" s="617" t="s">
        <v>242</v>
      </c>
      <c r="N15" s="628"/>
    </row>
    <row r="16" spans="1:19" ht="21.75" customHeight="1" x14ac:dyDescent="0.25">
      <c r="A16" s="1044"/>
      <c r="B16" s="1074" t="s">
        <v>274</v>
      </c>
      <c r="C16" s="605" t="s">
        <v>18</v>
      </c>
      <c r="D16" s="605">
        <v>6</v>
      </c>
      <c r="E16" s="606">
        <f>H16+(I16*2)+(J16*2)</f>
        <v>201.4</v>
      </c>
      <c r="F16" s="592"/>
      <c r="G16" s="116" t="s">
        <v>31</v>
      </c>
      <c r="H16" s="601">
        <f>78-(2*5)-2*(VLOOKUP(C16,$O$3:$S$11,4,FALSE))</f>
        <v>58</v>
      </c>
      <c r="I16" s="633">
        <f>(41.7+30)-3-(VLOOKUP(C16,$O$4:$S$11,4,FALSE))</f>
        <v>63.7</v>
      </c>
      <c r="J16" s="605">
        <f>VLOOKUP(C16,$O$4:$S$11,5,FALSE)</f>
        <v>8</v>
      </c>
      <c r="K16" s="608">
        <f>(((E16+E17)/2)/100)*D16*VLOOKUP(C16,$O$4:$S$10,3,FALSE)*M16</f>
        <v>104.99831999999999</v>
      </c>
      <c r="L16" s="593" t="s">
        <v>43</v>
      </c>
      <c r="M16" s="632">
        <v>10</v>
      </c>
      <c r="N16" s="628"/>
    </row>
    <row r="17" spans="1:18" ht="21.75" customHeight="1" x14ac:dyDescent="0.25">
      <c r="A17" s="1044"/>
      <c r="B17" s="1074"/>
      <c r="C17" s="605"/>
      <c r="D17" s="611"/>
      <c r="E17" s="613">
        <f>H17+(I17*2)+(J17*2)</f>
        <v>150</v>
      </c>
      <c r="F17" s="592"/>
      <c r="G17" s="427" t="s">
        <v>32</v>
      </c>
      <c r="H17" s="600">
        <f>78-(2*5)-2*(VLOOKUP(C16,$O$3:$S$11,4,FALSE))</f>
        <v>58</v>
      </c>
      <c r="I17" s="634">
        <f>(16+30)-3-(VLOOKUP(C16,$O$4:$S$11,4,FALSE))</f>
        <v>38</v>
      </c>
      <c r="J17" s="611">
        <f>VLOOKUP(C16,$O$4:$S$11,5,FALSE)</f>
        <v>8</v>
      </c>
      <c r="K17" s="612"/>
      <c r="L17" s="593"/>
      <c r="M17" s="592"/>
      <c r="N17" s="628"/>
    </row>
    <row r="18" spans="1:18" ht="21.75" customHeight="1" x14ac:dyDescent="0.25">
      <c r="A18" s="1044"/>
      <c r="B18" s="1074"/>
      <c r="C18" s="1018" t="str">
        <f>CONCATENATE(M16," juegos de ",D16," vars.")</f>
        <v>10 juegos de 6 vars.</v>
      </c>
      <c r="D18" s="1018"/>
      <c r="E18" s="1019"/>
      <c r="F18" s="592"/>
      <c r="G18" s="427" t="s">
        <v>88</v>
      </c>
      <c r="H18" s="4"/>
      <c r="I18" s="631">
        <f>(I16-I17)/(D16-1)</f>
        <v>5.1400000000000006</v>
      </c>
      <c r="J18" s="611"/>
      <c r="K18" s="612"/>
      <c r="L18" s="593"/>
      <c r="M18" s="617" t="s">
        <v>242</v>
      </c>
      <c r="N18" s="628"/>
    </row>
    <row r="19" spans="1:18" ht="21.75" customHeight="1" x14ac:dyDescent="0.25">
      <c r="A19" s="1044"/>
      <c r="B19" s="1074" t="s">
        <v>99</v>
      </c>
      <c r="C19" s="605" t="s">
        <v>18</v>
      </c>
      <c r="D19" s="605">
        <v>6</v>
      </c>
      <c r="E19" s="606">
        <f>H19+(I19*2)+(J19*2)</f>
        <v>180.4</v>
      </c>
      <c r="F19" s="592"/>
      <c r="G19" s="116" t="s">
        <v>31</v>
      </c>
      <c r="H19" s="601">
        <f>70-(2*5)-2*(VLOOKUP(C19,$O$3:$S$11,4,FALSE))</f>
        <v>50</v>
      </c>
      <c r="I19" s="633">
        <f>(35.2+30)-3-(VLOOKUP(C19,$O$4:$S$11,4,FALSE))</f>
        <v>57.2</v>
      </c>
      <c r="J19" s="605">
        <f>VLOOKUP(C19,$O$4:$S$11,5,FALSE)</f>
        <v>8</v>
      </c>
      <c r="K19" s="608">
        <f>(((E19+E20)/2)/100)*D19*VLOOKUP(C19,$O$4:$S$11,3,FALSE)*M19</f>
        <v>92.747519999999994</v>
      </c>
      <c r="L19" s="593" t="s">
        <v>43</v>
      </c>
      <c r="M19" s="632">
        <v>10</v>
      </c>
      <c r="N19" s="628"/>
    </row>
    <row r="20" spans="1:18" ht="21.75" customHeight="1" x14ac:dyDescent="0.25">
      <c r="A20" s="1044"/>
      <c r="B20" s="1074"/>
      <c r="C20" s="605"/>
      <c r="D20" s="611"/>
      <c r="E20" s="613">
        <f>H20+(I20*2)+(J20*2)</f>
        <v>130</v>
      </c>
      <c r="F20" s="592"/>
      <c r="G20" s="427" t="s">
        <v>32</v>
      </c>
      <c r="H20" s="600">
        <f>70-(2*5)-2*(VLOOKUP(C19,$O$3:$S$11,4,FALSE))</f>
        <v>50</v>
      </c>
      <c r="I20" s="222">
        <f>(10+30)-3-(VLOOKUP(C19,$O$4:$S$11,4,FALSE))</f>
        <v>32</v>
      </c>
      <c r="J20" s="611">
        <f>VLOOKUP(C19,$O$4:$S$11,5,FALSE)</f>
        <v>8</v>
      </c>
      <c r="K20" s="612"/>
      <c r="L20" s="593"/>
      <c r="M20" s="628"/>
      <c r="N20" s="628"/>
    </row>
    <row r="21" spans="1:18" ht="21.75" customHeight="1" x14ac:dyDescent="0.25">
      <c r="A21" s="1044"/>
      <c r="B21" s="1074"/>
      <c r="C21" s="1018" t="str">
        <f>CONCATENATE(M19," juegos de ",D19," vars.")</f>
        <v>10 juegos de 6 vars.</v>
      </c>
      <c r="D21" s="1018"/>
      <c r="E21" s="1019"/>
      <c r="F21" s="592"/>
      <c r="G21" s="427" t="s">
        <v>88</v>
      </c>
      <c r="H21" s="4"/>
      <c r="I21" s="631">
        <f>(I19-I20)/(D19-1)</f>
        <v>5.0400000000000009</v>
      </c>
      <c r="J21" s="611"/>
      <c r="K21" s="612"/>
      <c r="L21" s="593"/>
      <c r="M21" s="617" t="s">
        <v>242</v>
      </c>
      <c r="N21" s="628"/>
    </row>
    <row r="22" spans="1:18" ht="21.75" customHeight="1" x14ac:dyDescent="0.25">
      <c r="A22" s="1044"/>
      <c r="B22" s="1079" t="s">
        <v>275</v>
      </c>
      <c r="C22" s="605" t="s">
        <v>18</v>
      </c>
      <c r="D22" s="605">
        <v>6</v>
      </c>
      <c r="E22" s="606">
        <f>H22+(I22*2)+(J22*2)</f>
        <v>193.4</v>
      </c>
      <c r="F22" s="592"/>
      <c r="G22" s="116" t="s">
        <v>31</v>
      </c>
      <c r="H22" s="601">
        <f>70-(2*5)-2*(VLOOKUP(C22,$O$3:$S$11,4,FALSE))</f>
        <v>50</v>
      </c>
      <c r="I22" s="633">
        <f>(41.7+30)-3-(VLOOKUP(C22,$O$4:$S$11,4,FALSE))</f>
        <v>63.7</v>
      </c>
      <c r="J22" s="605">
        <f>VLOOKUP(C22,$O$4:$S$11,5,FALSE)</f>
        <v>8</v>
      </c>
      <c r="K22" s="608">
        <f>(((E22+E23)/2)/100)*D22*VLOOKUP(C22,$O$4:$S$11,3,FALSE)*M22</f>
        <v>100.21751999999999</v>
      </c>
      <c r="L22" s="593" t="s">
        <v>43</v>
      </c>
      <c r="M22" s="632">
        <v>10</v>
      </c>
      <c r="N22" s="628"/>
    </row>
    <row r="23" spans="1:18" ht="21.75" customHeight="1" x14ac:dyDescent="0.25">
      <c r="A23" s="1044"/>
      <c r="B23" s="1080"/>
      <c r="C23" s="605"/>
      <c r="D23" s="611"/>
      <c r="E23" s="613">
        <f>H23+(I23*2)+(J23*2)</f>
        <v>142</v>
      </c>
      <c r="F23" s="592"/>
      <c r="G23" s="427" t="s">
        <v>32</v>
      </c>
      <c r="H23" s="600">
        <f>70-(2*5)-(2*VLOOKUP(C22,$O$3:$S$11,4,FALSE))</f>
        <v>50</v>
      </c>
      <c r="I23" s="634">
        <f>(16+30)-3-(VLOOKUP(C22,$O$4:$S$11,4,FALSE))</f>
        <v>38</v>
      </c>
      <c r="J23" s="611">
        <f>VLOOKUP(C22,$O$4:$S$11,5,FALSE)</f>
        <v>8</v>
      </c>
      <c r="K23" s="612"/>
      <c r="L23" s="593"/>
      <c r="M23" s="628"/>
      <c r="N23" s="628"/>
    </row>
    <row r="24" spans="1:18" ht="21.75" customHeight="1" x14ac:dyDescent="0.25">
      <c r="A24" s="1044"/>
      <c r="B24" s="1081"/>
      <c r="C24" s="1018" t="str">
        <f>CONCATENATE(M22," juegos de ",D22," vars.")</f>
        <v>10 juegos de 6 vars.</v>
      </c>
      <c r="D24" s="1018"/>
      <c r="E24" s="1019"/>
      <c r="F24" s="275"/>
      <c r="G24" s="427" t="s">
        <v>88</v>
      </c>
      <c r="H24" s="4"/>
      <c r="I24" s="631">
        <f>(I22-I23)/(D22-1)</f>
        <v>5.1400000000000006</v>
      </c>
      <c r="J24" s="611"/>
      <c r="K24" s="612"/>
      <c r="L24" s="593"/>
      <c r="M24" s="598"/>
      <c r="N24" s="598"/>
    </row>
    <row r="25" spans="1:18" ht="64.5" customHeight="1" x14ac:dyDescent="0.25">
      <c r="A25" s="1044"/>
      <c r="B25" s="896" t="s">
        <v>100</v>
      </c>
      <c r="C25" s="611" t="s">
        <v>18</v>
      </c>
      <c r="D25" s="611">
        <v>28</v>
      </c>
      <c r="E25" s="613">
        <f t="shared" ref="E25:E26" si="3">(H25*2)+(I25*2)+(J25*5)+20</f>
        <v>294</v>
      </c>
      <c r="F25" s="252"/>
      <c r="G25" s="252"/>
      <c r="H25" s="280">
        <f>79-(2*3)-(2*VLOOKUP(C25,$O$4:$S$11,4,FALSE))</f>
        <v>63</v>
      </c>
      <c r="I25" s="226">
        <f>70-(2*3)-(2*VLOOKUP(C25,$O$4:$S$11,4,FALSE))</f>
        <v>54</v>
      </c>
      <c r="J25" s="611">
        <f t="shared" ref="J25:J31" si="4">VLOOKUP(C25,$O$4:$S$11,5,FALSE)</f>
        <v>8</v>
      </c>
      <c r="K25" s="612">
        <f t="shared" ref="K25:K31" si="5">(E25/100)*D25*VLOOKUP(C25,$O$4:$S$11,3,FALSE)</f>
        <v>81.990719999999996</v>
      </c>
      <c r="L25" s="593" t="s">
        <v>43</v>
      </c>
      <c r="M25" s="598"/>
      <c r="N25" s="598"/>
      <c r="O25" s="598"/>
      <c r="P25" s="598"/>
      <c r="Q25" s="598"/>
      <c r="R25" s="598"/>
    </row>
    <row r="26" spans="1:18" ht="64.5" customHeight="1" thickBot="1" x14ac:dyDescent="0.3">
      <c r="A26" s="1045"/>
      <c r="B26" s="899" t="s">
        <v>276</v>
      </c>
      <c r="C26" s="629" t="s">
        <v>18</v>
      </c>
      <c r="D26" s="629">
        <v>34</v>
      </c>
      <c r="E26" s="630">
        <f t="shared" si="3"/>
        <v>292</v>
      </c>
      <c r="F26" s="983"/>
      <c r="G26" s="983"/>
      <c r="H26" s="282">
        <f>78-(2*3)-(2*VLOOKUP(C26,$O$4:$S$11,4,FALSE))</f>
        <v>62</v>
      </c>
      <c r="I26" s="283">
        <f>70-(2*3)-(2*VLOOKUP(C26,$O$4:$S$11,4,FALSE))</f>
        <v>54</v>
      </c>
      <c r="J26" s="629">
        <f t="shared" si="4"/>
        <v>8</v>
      </c>
      <c r="K26" s="108">
        <f t="shared" si="5"/>
        <v>98.88288</v>
      </c>
      <c r="L26" s="593" t="s">
        <v>43</v>
      </c>
      <c r="M26" s="598"/>
      <c r="N26" s="598"/>
      <c r="O26" s="598"/>
      <c r="P26" s="598"/>
      <c r="Q26" s="598"/>
      <c r="R26" s="598"/>
    </row>
    <row r="27" spans="1:18" ht="102.75" customHeight="1" x14ac:dyDescent="0.25">
      <c r="A27" s="952" t="s">
        <v>457</v>
      </c>
      <c r="B27" s="895" t="s">
        <v>403</v>
      </c>
      <c r="C27" s="248" t="s">
        <v>18</v>
      </c>
      <c r="D27" s="715">
        <v>60</v>
      </c>
      <c r="E27" s="718">
        <f t="shared" ref="E27" si="6">(H27*2)+(I27*2)+(J27*5)+20</f>
        <v>280</v>
      </c>
      <c r="F27" s="900"/>
      <c r="G27" s="901"/>
      <c r="H27" s="713">
        <f>42-(2*3)-(2*VLOOKUP(C27,$O$4:$S$11,4,FALSE))</f>
        <v>26</v>
      </c>
      <c r="I27" s="714">
        <f>100-(2*3)-(2*VLOOKUP(C27,$O$4:$S$11,4,FALSE))</f>
        <v>84</v>
      </c>
      <c r="J27" s="715">
        <f t="shared" si="4"/>
        <v>8</v>
      </c>
      <c r="K27" s="716">
        <f t="shared" si="5"/>
        <v>167.328</v>
      </c>
      <c r="L27" s="707" t="s">
        <v>43</v>
      </c>
      <c r="M27" s="708"/>
      <c r="N27" s="708"/>
      <c r="O27" s="708"/>
      <c r="P27" s="708"/>
      <c r="Q27" s="708"/>
      <c r="R27" s="708"/>
    </row>
    <row r="28" spans="1:18" ht="35.1" customHeight="1" x14ac:dyDescent="0.25">
      <c r="A28" s="953"/>
      <c r="B28" s="896" t="s">
        <v>110</v>
      </c>
      <c r="C28" s="611" t="s">
        <v>18</v>
      </c>
      <c r="D28" s="611">
        <v>35</v>
      </c>
      <c r="E28" s="613">
        <f t="shared" ref="E28:E31" si="7">H28+(I28*2)+(J28*2)</f>
        <v>214</v>
      </c>
      <c r="F28" s="592"/>
      <c r="G28" s="592"/>
      <c r="H28" s="280">
        <f>42-(2*4)-(2*VLOOKUP(C28,$O$4:$S$11,4,FALSE))</f>
        <v>24</v>
      </c>
      <c r="I28" s="226">
        <f>(55)-3-(VLOOKUP(C28,$O$4:$S$11,4,FALSE))+40</f>
        <v>87</v>
      </c>
      <c r="J28" s="611">
        <f t="shared" si="4"/>
        <v>8</v>
      </c>
      <c r="K28" s="612">
        <f t="shared" si="5"/>
        <v>74.600400000000008</v>
      </c>
      <c r="L28" s="593" t="s">
        <v>43</v>
      </c>
      <c r="M28" s="598"/>
      <c r="N28" s="598"/>
      <c r="O28" s="598"/>
      <c r="P28" s="598"/>
      <c r="Q28" s="598"/>
      <c r="R28" s="598"/>
    </row>
    <row r="29" spans="1:18" ht="35.1" customHeight="1" x14ac:dyDescent="0.25">
      <c r="A29" s="953"/>
      <c r="B29" s="896" t="s">
        <v>277</v>
      </c>
      <c r="C29" s="839" t="s">
        <v>18</v>
      </c>
      <c r="D29" s="839">
        <v>21</v>
      </c>
      <c r="E29" s="840">
        <f t="shared" ref="E29:E30" si="8">H29+(I29*2)+(J29*2)</f>
        <v>254</v>
      </c>
      <c r="F29" s="833"/>
      <c r="G29" s="833"/>
      <c r="H29" s="280">
        <f>42-(2*4)-(2*VLOOKUP(C29,$O$4:$S$11,4,FALSE))</f>
        <v>24</v>
      </c>
      <c r="I29" s="226">
        <f>(75)-3-(VLOOKUP(C29,$O$4:$S$11,4,FALSE))+40</f>
        <v>107</v>
      </c>
      <c r="J29" s="839">
        <f t="shared" ref="J29:J30" si="9">VLOOKUP(C29,$O$4:$S$11,5,FALSE)</f>
        <v>8</v>
      </c>
      <c r="K29" s="844">
        <f t="shared" ref="K29:K30" si="10">(E29/100)*D29*VLOOKUP(C29,$O$4:$S$11,3,FALSE)</f>
        <v>53.126640000000002</v>
      </c>
      <c r="L29" s="834"/>
      <c r="M29" s="837"/>
      <c r="N29" s="837"/>
      <c r="O29" s="837"/>
      <c r="P29" s="837"/>
      <c r="Q29" s="837"/>
      <c r="R29" s="837"/>
    </row>
    <row r="30" spans="1:18" ht="35.1" customHeight="1" x14ac:dyDescent="0.25">
      <c r="A30" s="953"/>
      <c r="B30" s="896" t="s">
        <v>273</v>
      </c>
      <c r="C30" s="839" t="s">
        <v>18</v>
      </c>
      <c r="D30" s="839">
        <v>15</v>
      </c>
      <c r="E30" s="840">
        <f t="shared" si="8"/>
        <v>272</v>
      </c>
      <c r="F30" s="833"/>
      <c r="G30" s="833"/>
      <c r="H30" s="280">
        <f>100-(2*4)-(2*VLOOKUP(C30,$O$4:$S$11,4,FALSE))</f>
        <v>82</v>
      </c>
      <c r="I30" s="226">
        <f>(((55)-3-(VLOOKUP(C30,$O$4:$S$11,4,FALSE)))+40)</f>
        <v>87</v>
      </c>
      <c r="J30" s="839">
        <f t="shared" si="9"/>
        <v>8</v>
      </c>
      <c r="K30" s="844">
        <f t="shared" si="10"/>
        <v>40.636800000000001</v>
      </c>
      <c r="L30" s="834"/>
      <c r="M30" s="837"/>
      <c r="N30" s="837"/>
      <c r="O30" s="837"/>
      <c r="P30" s="837"/>
      <c r="Q30" s="837"/>
      <c r="R30" s="837"/>
    </row>
    <row r="31" spans="1:18" ht="35.1" customHeight="1" thickBot="1" x14ac:dyDescent="0.3">
      <c r="A31" s="954"/>
      <c r="B31" s="896" t="s">
        <v>378</v>
      </c>
      <c r="C31" s="611" t="s">
        <v>18</v>
      </c>
      <c r="D31" s="611">
        <v>9</v>
      </c>
      <c r="E31" s="613">
        <f t="shared" si="7"/>
        <v>312</v>
      </c>
      <c r="F31" s="252"/>
      <c r="G31" s="252"/>
      <c r="H31" s="280">
        <f>100-(2*4)-(2*VLOOKUP(C31,$O$4:$S$11,4,FALSE))</f>
        <v>82</v>
      </c>
      <c r="I31" s="226">
        <f>(((75)-3-(VLOOKUP(C31,$O$4:$S$11,4,FALSE)))+40)</f>
        <v>107</v>
      </c>
      <c r="J31" s="611">
        <f t="shared" si="4"/>
        <v>8</v>
      </c>
      <c r="K31" s="612">
        <f t="shared" si="5"/>
        <v>27.967680000000001</v>
      </c>
      <c r="L31" s="593" t="s">
        <v>43</v>
      </c>
      <c r="M31" s="598"/>
      <c r="N31" s="598"/>
      <c r="O31" s="598"/>
      <c r="P31" s="598"/>
      <c r="Q31" s="598"/>
      <c r="R31" s="598"/>
    </row>
    <row r="32" spans="1:18" ht="147" customHeight="1" x14ac:dyDescent="0.25">
      <c r="A32" s="1042" t="s">
        <v>456</v>
      </c>
      <c r="B32" s="897" t="s">
        <v>47</v>
      </c>
      <c r="C32" s="248" t="s">
        <v>18</v>
      </c>
      <c r="D32" s="248">
        <v>872</v>
      </c>
      <c r="E32" s="272">
        <f>((PI())*H32)+I32*2</f>
        <v>636.90260418206071</v>
      </c>
      <c r="F32" s="1075"/>
      <c r="G32" s="1076"/>
      <c r="H32" s="636">
        <f>200-(2*5)</f>
        <v>190</v>
      </c>
      <c r="I32" s="248">
        <v>20</v>
      </c>
      <c r="J32" s="248"/>
      <c r="K32" s="104">
        <f>(E32/100)*D32*VLOOKUP(C32,$O$4:$S$11,3,FALSE)</f>
        <v>5531.5755456336992</v>
      </c>
      <c r="L32" s="607" t="s">
        <v>43</v>
      </c>
      <c r="M32" s="598"/>
      <c r="N32" s="598"/>
      <c r="R32" s="598"/>
    </row>
    <row r="33" spans="1:18" ht="97.5" customHeight="1" x14ac:dyDescent="0.25">
      <c r="A33" s="1043"/>
      <c r="B33" s="898" t="s">
        <v>379</v>
      </c>
      <c r="C33" s="611" t="s">
        <v>18</v>
      </c>
      <c r="D33" s="611">
        <f>D32*2</f>
        <v>1744</v>
      </c>
      <c r="E33" s="613">
        <f t="shared" ref="E33" si="11">(H33*2)+(I33*2)+(J33*5)+10*2</f>
        <v>490</v>
      </c>
      <c r="F33" s="591"/>
      <c r="G33" s="591"/>
      <c r="H33" s="712">
        <f>(45)-(2*(VLOOKUP(C33,$O$5:$S$11,4,FALSE)))</f>
        <v>35</v>
      </c>
      <c r="I33" s="710">
        <f>200-(2*5)-(2*(VLOOKUP(C33,$O$5:$S$11,4,FALSE)))</f>
        <v>180</v>
      </c>
      <c r="J33" s="611">
        <f t="shared" ref="J33:J35" si="12">VLOOKUP(C33,$O$4:$S$11,5,FALSE)</f>
        <v>8</v>
      </c>
      <c r="K33" s="612">
        <f>(E33/100)*D33*VLOOKUP(C33,$O$4:$S$11,3,FALSE)</f>
        <v>8511.4176000000007</v>
      </c>
      <c r="L33" s="686" t="s">
        <v>43</v>
      </c>
      <c r="M33" s="628"/>
      <c r="N33" s="628"/>
      <c r="O33" s="78"/>
      <c r="R33" s="598"/>
    </row>
    <row r="34" spans="1:18" ht="54.95" customHeight="1" x14ac:dyDescent="0.25">
      <c r="A34" s="1043"/>
      <c r="B34" s="898" t="s">
        <v>264</v>
      </c>
      <c r="C34" s="611" t="s">
        <v>16</v>
      </c>
      <c r="D34" s="710">
        <f>(32*2)*2</f>
        <v>128</v>
      </c>
      <c r="E34" s="613">
        <f>H34+(I34*2)+(2*J34)</f>
        <v>410</v>
      </c>
      <c r="F34" s="592"/>
      <c r="G34" s="417"/>
      <c r="H34" s="600">
        <f>(200+70)-10-(2*VLOOKUP($C$34,$O$4:$S$11,4,FALSE))</f>
        <v>242</v>
      </c>
      <c r="I34" s="611">
        <v>70</v>
      </c>
      <c r="J34" s="611">
        <f t="shared" si="12"/>
        <v>14</v>
      </c>
      <c r="K34" s="612">
        <f>((E34)/100)*D34*VLOOKUP(C34,$O$4:$S$11,3,FALSE)</f>
        <v>2093.9519999999998</v>
      </c>
      <c r="L34" s="607" t="s">
        <v>43</v>
      </c>
      <c r="M34" s="628"/>
      <c r="N34" s="628"/>
      <c r="O34" s="78"/>
      <c r="R34" s="598"/>
    </row>
    <row r="35" spans="1:18" ht="54.95" customHeight="1" thickBot="1" x14ac:dyDescent="0.3">
      <c r="A35" s="1043"/>
      <c r="B35" s="898" t="s">
        <v>278</v>
      </c>
      <c r="C35" s="611" t="s">
        <v>16</v>
      </c>
      <c r="D35" s="710">
        <f>(32*2)*2</f>
        <v>128</v>
      </c>
      <c r="E35" s="613">
        <f>H35+(I35*2)+(2*J35)</f>
        <v>2739</v>
      </c>
      <c r="F35" s="592"/>
      <c r="G35" s="417"/>
      <c r="H35" s="600">
        <f>(2529+70)-10-(2*VLOOKUP($C$35,$O$4:$S$11,4,FALSE))</f>
        <v>2571</v>
      </c>
      <c r="I35" s="611">
        <v>70</v>
      </c>
      <c r="J35" s="611">
        <f t="shared" si="12"/>
        <v>14</v>
      </c>
      <c r="K35" s="612">
        <f>((E35)/100)*D35*VLOOKUP(C35,$O$4:$S$11,3,FALSE)</f>
        <v>13988.620800000001</v>
      </c>
      <c r="L35" s="607" t="s">
        <v>43</v>
      </c>
      <c r="M35" s="628"/>
      <c r="N35" s="628"/>
      <c r="O35" s="78"/>
      <c r="R35" s="598"/>
    </row>
    <row r="36" spans="1:18" ht="15.75" customHeight="1" thickBot="1" x14ac:dyDescent="0.3">
      <c r="A36" s="902"/>
      <c r="B36" s="331"/>
      <c r="C36" s="332"/>
      <c r="D36" s="331"/>
      <c r="E36" s="338"/>
      <c r="F36" s="614" t="s">
        <v>104</v>
      </c>
      <c r="G36" s="615"/>
      <c r="H36" s="155" t="s">
        <v>51</v>
      </c>
      <c r="I36" s="156"/>
      <c r="J36" s="157" t="s">
        <v>52</v>
      </c>
      <c r="K36" s="158"/>
    </row>
    <row r="37" spans="1:18" ht="15.75" customHeight="1" x14ac:dyDescent="0.25">
      <c r="A37" s="883"/>
      <c r="B37" s="962"/>
      <c r="C37" s="963"/>
      <c r="D37" s="963"/>
      <c r="E37" s="963"/>
      <c r="F37" s="624" t="s">
        <v>80</v>
      </c>
      <c r="G37" s="625"/>
      <c r="H37" s="626"/>
      <c r="I37" s="627"/>
      <c r="J37" s="118"/>
      <c r="K37" s="119"/>
    </row>
    <row r="38" spans="1:18" ht="15.75" customHeight="1" x14ac:dyDescent="0.25">
      <c r="A38" s="883"/>
      <c r="B38" s="928"/>
      <c r="C38" s="929"/>
      <c r="D38" s="929"/>
      <c r="E38" s="929"/>
      <c r="F38" s="622"/>
      <c r="G38" s="623"/>
      <c r="H38" s="618"/>
      <c r="I38" s="619"/>
      <c r="J38" s="652"/>
      <c r="K38" s="653"/>
      <c r="L38" s="308" t="s">
        <v>43</v>
      </c>
      <c r="M38">
        <v>60584.26</v>
      </c>
    </row>
    <row r="39" spans="1:18" ht="15.75" customHeight="1" x14ac:dyDescent="0.25">
      <c r="A39" s="883"/>
      <c r="B39" s="656"/>
      <c r="C39" s="657"/>
      <c r="D39" s="657"/>
      <c r="E39" s="657"/>
      <c r="F39" s="663" t="s">
        <v>462</v>
      </c>
      <c r="G39" s="664"/>
      <c r="H39" s="660" t="s">
        <v>30</v>
      </c>
      <c r="I39" s="661"/>
      <c r="J39" s="652">
        <f>SUM(K32:K35)</f>
        <v>30125.565945633702</v>
      </c>
      <c r="K39" s="653"/>
      <c r="L39" s="308" t="s">
        <v>43</v>
      </c>
      <c r="M39" s="71"/>
    </row>
    <row r="40" spans="1:18" ht="15.75" customHeight="1" thickBot="1" x14ac:dyDescent="0.3">
      <c r="A40" s="883"/>
      <c r="B40" s="656"/>
      <c r="C40" s="657"/>
      <c r="D40" s="657"/>
      <c r="E40" s="657"/>
      <c r="F40" s="663"/>
      <c r="G40" s="664"/>
      <c r="H40" s="660"/>
      <c r="I40" s="661"/>
      <c r="J40" s="652"/>
      <c r="K40" s="653"/>
      <c r="L40" s="308" t="s">
        <v>43</v>
      </c>
    </row>
    <row r="41" spans="1:18" ht="15.75" customHeight="1" x14ac:dyDescent="0.25">
      <c r="A41" s="883"/>
      <c r="B41" s="928"/>
      <c r="C41" s="929"/>
      <c r="D41" s="929"/>
      <c r="E41" s="929"/>
      <c r="F41" s="622" t="s">
        <v>103</v>
      </c>
      <c r="G41" s="623"/>
      <c r="H41" s="618" t="s">
        <v>30</v>
      </c>
      <c r="I41" s="619"/>
      <c r="J41" s="652">
        <f>SUM(K4:K12)</f>
        <v>15773.402280000002</v>
      </c>
      <c r="K41" s="653"/>
      <c r="L41" s="308" t="s">
        <v>43</v>
      </c>
      <c r="M41" s="5" t="s">
        <v>186</v>
      </c>
      <c r="N41" s="6"/>
      <c r="O41" s="7"/>
    </row>
    <row r="42" spans="1:18" ht="15.75" customHeight="1" x14ac:dyDescent="0.25">
      <c r="A42" s="883"/>
      <c r="B42" s="928"/>
      <c r="C42" s="929"/>
      <c r="D42" s="929"/>
      <c r="E42" s="929"/>
      <c r="F42" s="622" t="s">
        <v>450</v>
      </c>
      <c r="G42" s="623"/>
      <c r="H42" s="618" t="s">
        <v>30</v>
      </c>
      <c r="I42" s="619"/>
      <c r="J42" s="652">
        <f>SUM(K13:K31)</f>
        <v>940.62239999999997</v>
      </c>
      <c r="K42" s="653"/>
      <c r="L42" s="308" t="s">
        <v>43</v>
      </c>
      <c r="M42" s="54"/>
      <c r="N42" s="2"/>
      <c r="O42" s="50"/>
    </row>
    <row r="43" spans="1:18" ht="15.75" customHeight="1" x14ac:dyDescent="0.25">
      <c r="A43" s="883"/>
      <c r="B43" s="596"/>
      <c r="C43" s="597"/>
      <c r="D43" s="597"/>
      <c r="E43" s="597"/>
      <c r="F43" s="622"/>
      <c r="G43" s="623"/>
      <c r="H43" s="618"/>
      <c r="I43" s="619"/>
      <c r="J43" s="594"/>
      <c r="K43" s="595"/>
      <c r="L43" s="308" t="s">
        <v>43</v>
      </c>
      <c r="M43" s="54"/>
      <c r="N43" s="2"/>
      <c r="O43" s="50"/>
    </row>
    <row r="44" spans="1:18" ht="15.75" customHeight="1" x14ac:dyDescent="0.25">
      <c r="A44" s="883"/>
      <c r="B44" s="964"/>
      <c r="C44" s="965"/>
      <c r="D44" s="965"/>
      <c r="E44" s="965"/>
      <c r="F44" s="620" t="s">
        <v>114</v>
      </c>
      <c r="G44" s="621"/>
      <c r="H44" s="618"/>
      <c r="I44" s="619"/>
      <c r="J44" s="594"/>
      <c r="K44" s="595"/>
      <c r="M44" s="359" t="s">
        <v>184</v>
      </c>
      <c r="N44" s="360"/>
      <c r="O44" s="361">
        <f>J41+J42</f>
        <v>16714.024680000002</v>
      </c>
      <c r="P44" t="s">
        <v>43</v>
      </c>
    </row>
    <row r="45" spans="1:18" ht="15.75" customHeight="1" x14ac:dyDescent="0.25">
      <c r="A45" s="884"/>
      <c r="B45" s="928"/>
      <c r="C45" s="929"/>
      <c r="D45" s="929"/>
      <c r="E45" s="929"/>
      <c r="F45" s="622"/>
      <c r="G45" s="623"/>
      <c r="H45" s="618"/>
      <c r="I45" s="619"/>
      <c r="J45" s="594"/>
      <c r="K45" s="595"/>
      <c r="L45" s="308" t="s">
        <v>43</v>
      </c>
      <c r="M45" s="945" t="s">
        <v>182</v>
      </c>
      <c r="N45" s="946"/>
      <c r="O45" s="361">
        <f>J39</f>
        <v>30125.565945633702</v>
      </c>
      <c r="P45" t="s">
        <v>43</v>
      </c>
    </row>
    <row r="46" spans="1:18" ht="15.75" customHeight="1" x14ac:dyDescent="0.25">
      <c r="A46" s="884"/>
      <c r="B46" s="656"/>
      <c r="C46" s="657"/>
      <c r="D46" s="657"/>
      <c r="E46" s="657"/>
      <c r="F46" s="663" t="s">
        <v>395</v>
      </c>
      <c r="G46" s="664"/>
      <c r="H46" s="660" t="s">
        <v>29</v>
      </c>
      <c r="I46" s="661"/>
      <c r="J46" s="658">
        <f>G66+G65</f>
        <v>315.98138909806141</v>
      </c>
      <c r="K46" s="659"/>
      <c r="L46" s="308" t="s">
        <v>43</v>
      </c>
      <c r="M46" s="305"/>
      <c r="N46" s="306"/>
      <c r="O46" s="665"/>
    </row>
    <row r="47" spans="1:18" ht="15.75" customHeight="1" x14ac:dyDescent="0.25">
      <c r="A47" s="884"/>
      <c r="B47" s="656"/>
      <c r="C47" s="657"/>
      <c r="D47" s="657"/>
      <c r="E47" s="657"/>
      <c r="F47" s="663"/>
      <c r="G47" s="664"/>
      <c r="H47" s="660"/>
      <c r="I47" s="661"/>
      <c r="J47" s="658"/>
      <c r="K47" s="659"/>
      <c r="L47" s="308" t="s">
        <v>43</v>
      </c>
      <c r="M47" s="305"/>
      <c r="N47" s="306"/>
      <c r="O47" s="665"/>
    </row>
    <row r="48" spans="1:18" ht="15.75" customHeight="1" x14ac:dyDescent="0.25">
      <c r="A48" s="884"/>
      <c r="B48" s="928"/>
      <c r="C48" s="929"/>
      <c r="D48" s="929"/>
      <c r="E48" s="929"/>
      <c r="F48" s="622" t="s">
        <v>103</v>
      </c>
      <c r="G48" s="623"/>
      <c r="H48" s="618" t="s">
        <v>29</v>
      </c>
      <c r="I48" s="619"/>
      <c r="J48" s="594">
        <f>G76</f>
        <v>90.1</v>
      </c>
      <c r="K48" s="595"/>
      <c r="L48" s="308" t="s">
        <v>43</v>
      </c>
      <c r="M48" s="362"/>
      <c r="N48" s="363"/>
      <c r="O48" s="364"/>
    </row>
    <row r="49" spans="1:16" ht="15.75" customHeight="1" x14ac:dyDescent="0.25">
      <c r="A49" s="884"/>
      <c r="B49" s="928"/>
      <c r="C49" s="929"/>
      <c r="D49" s="929"/>
      <c r="E49" s="929"/>
      <c r="F49" s="622" t="s">
        <v>454</v>
      </c>
      <c r="G49" s="623"/>
      <c r="H49" s="618" t="s">
        <v>29</v>
      </c>
      <c r="I49" s="619"/>
      <c r="J49" s="594">
        <f>F90</f>
        <v>4.2013500000000006</v>
      </c>
      <c r="K49" s="595"/>
      <c r="M49" s="359" t="s">
        <v>185</v>
      </c>
      <c r="N49" s="360"/>
      <c r="O49" s="361">
        <f>J48+J49</f>
        <v>94.301349999999999</v>
      </c>
      <c r="P49" t="s">
        <v>43</v>
      </c>
    </row>
    <row r="50" spans="1:16" ht="15.75" customHeight="1" x14ac:dyDescent="0.25">
      <c r="A50" s="884"/>
      <c r="B50" s="640"/>
      <c r="C50" s="641"/>
      <c r="D50" s="641"/>
      <c r="E50" s="641"/>
      <c r="F50" s="622"/>
      <c r="G50" s="642"/>
      <c r="H50" s="643"/>
      <c r="I50" s="644"/>
      <c r="J50" s="645"/>
      <c r="K50" s="646"/>
      <c r="L50" s="308" t="s">
        <v>43</v>
      </c>
      <c r="M50" s="647"/>
      <c r="N50" s="319"/>
      <c r="O50" s="648"/>
    </row>
    <row r="51" spans="1:16" ht="15.75" customHeight="1" x14ac:dyDescent="0.25">
      <c r="A51" s="884"/>
      <c r="B51" s="640"/>
      <c r="C51" s="641"/>
      <c r="D51" s="641"/>
      <c r="E51" s="641"/>
      <c r="F51" s="668" t="s">
        <v>105</v>
      </c>
      <c r="G51" s="662"/>
      <c r="H51" s="660" t="s">
        <v>29</v>
      </c>
      <c r="I51" s="661"/>
      <c r="J51" s="658">
        <f>G68+G69</f>
        <v>251.01325302182448</v>
      </c>
      <c r="K51" s="646"/>
      <c r="M51" s="647"/>
      <c r="N51" s="319"/>
      <c r="O51" s="648"/>
    </row>
    <row r="52" spans="1:16" ht="15.75" customHeight="1" thickBot="1" x14ac:dyDescent="0.3">
      <c r="A52" s="885"/>
      <c r="B52" s="956"/>
      <c r="C52" s="957"/>
      <c r="D52" s="957"/>
      <c r="E52" s="957"/>
      <c r="F52" s="667"/>
      <c r="G52" s="669"/>
      <c r="H52" s="670"/>
      <c r="I52" s="672"/>
      <c r="J52" s="671"/>
      <c r="K52" s="616"/>
      <c r="M52" s="365" t="s">
        <v>183</v>
      </c>
      <c r="N52" s="366"/>
      <c r="O52" s="367">
        <f>J46</f>
        <v>315.98138909806141</v>
      </c>
      <c r="P52" t="s">
        <v>43</v>
      </c>
    </row>
    <row r="55" spans="1:16" ht="15.75" thickBot="1" x14ac:dyDescent="0.3">
      <c r="F55" s="2"/>
      <c r="G55" s="2"/>
    </row>
    <row r="56" spans="1:16" ht="15.75" thickBot="1" x14ac:dyDescent="0.3">
      <c r="F56" s="958" t="s">
        <v>126</v>
      </c>
      <c r="G56" s="958"/>
      <c r="H56" s="959" t="s">
        <v>29</v>
      </c>
      <c r="I56" s="960"/>
      <c r="J56" s="933">
        <f>(J39+J41+J42)/J57</f>
        <v>5.9668268312909181</v>
      </c>
      <c r="K56" s="934"/>
    </row>
    <row r="57" spans="1:16" ht="15.75" thickBot="1" x14ac:dyDescent="0.3">
      <c r="F57" s="961" t="s">
        <v>127</v>
      </c>
      <c r="G57" s="961"/>
      <c r="H57" s="931" t="s">
        <v>128</v>
      </c>
      <c r="I57" s="932"/>
      <c r="J57" s="933">
        <v>7850</v>
      </c>
      <c r="K57" s="934"/>
    </row>
    <row r="58" spans="1:16" ht="15.75" thickBot="1" x14ac:dyDescent="0.3">
      <c r="F58" s="961" t="s">
        <v>134</v>
      </c>
      <c r="G58" s="958"/>
      <c r="H58" s="959" t="s">
        <v>29</v>
      </c>
      <c r="I58" s="960"/>
      <c r="J58" s="654">
        <f>(J46+J48+J49)-J56</f>
        <v>404.31591226677051</v>
      </c>
      <c r="K58" s="655"/>
    </row>
    <row r="59" spans="1:16" x14ac:dyDescent="0.25">
      <c r="K59" s="100"/>
    </row>
    <row r="60" spans="1:16" x14ac:dyDescent="0.25">
      <c r="E60" s="343"/>
    </row>
    <row r="64" spans="1:16" x14ac:dyDescent="0.25">
      <c r="B64" s="1"/>
      <c r="C64" s="1" t="s">
        <v>169</v>
      </c>
      <c r="D64" s="1" t="s">
        <v>40</v>
      </c>
      <c r="E64" s="1" t="s">
        <v>39</v>
      </c>
      <c r="F64" s="1" t="s">
        <v>168</v>
      </c>
      <c r="G64" s="603" t="s">
        <v>384</v>
      </c>
      <c r="H64" s="2">
        <v>2</v>
      </c>
      <c r="I64" t="s">
        <v>246</v>
      </c>
      <c r="J64" s="344" t="s">
        <v>385</v>
      </c>
      <c r="K64" s="344" t="s">
        <v>386</v>
      </c>
      <c r="L64" s="1058" t="s">
        <v>387</v>
      </c>
      <c r="M64" s="1058"/>
      <c r="N64" s="1058" t="s">
        <v>388</v>
      </c>
      <c r="O64" s="1058"/>
    </row>
    <row r="65" spans="1:15" x14ac:dyDescent="0.25">
      <c r="B65" s="1" t="s">
        <v>397</v>
      </c>
      <c r="C65" s="340">
        <v>1</v>
      </c>
      <c r="D65" s="340">
        <f>PI()*(C65^2)</f>
        <v>3.1415926535897931</v>
      </c>
      <c r="E65" s="341">
        <v>25</v>
      </c>
      <c r="F65" s="341">
        <f>D65*E65</f>
        <v>78.539816339744831</v>
      </c>
      <c r="G65" s="342">
        <f>F65*H64</f>
        <v>157.07963267948966</v>
      </c>
      <c r="H65" s="345"/>
      <c r="J65" s="344">
        <f>(H64*E68)</f>
        <v>38.74</v>
      </c>
      <c r="K65" s="344">
        <f>(E69*H66)</f>
        <v>41.16</v>
      </c>
      <c r="L65" s="1058">
        <f>(E65*H64)</f>
        <v>50</v>
      </c>
      <c r="M65" s="1058"/>
      <c r="N65" s="1058">
        <f>(E66*H66)</f>
        <v>50.58</v>
      </c>
      <c r="O65" s="1058"/>
    </row>
    <row r="66" spans="1:15" x14ac:dyDescent="0.25">
      <c r="B66" s="1" t="s">
        <v>397</v>
      </c>
      <c r="C66" s="340">
        <v>1</v>
      </c>
      <c r="D66" s="340">
        <f>PI()*(C66^2)</f>
        <v>3.1415926535897931</v>
      </c>
      <c r="E66" s="341">
        <v>25.29</v>
      </c>
      <c r="F66" s="341">
        <f>D66*E66</f>
        <v>79.450878209285861</v>
      </c>
      <c r="G66" s="342">
        <f>F66*H66</f>
        <v>158.90175641857172</v>
      </c>
      <c r="H66" s="2">
        <v>2</v>
      </c>
      <c r="I66" t="s">
        <v>382</v>
      </c>
      <c r="J66" s="344"/>
      <c r="K66" s="344"/>
    </row>
    <row r="67" spans="1:15" x14ac:dyDescent="0.25">
      <c r="B67" s="1"/>
      <c r="C67" s="340"/>
      <c r="D67" s="340"/>
      <c r="E67" s="341"/>
      <c r="F67" s="341"/>
      <c r="G67" s="705" t="s">
        <v>383</v>
      </c>
      <c r="H67" s="345"/>
      <c r="J67" s="344"/>
      <c r="K67" s="344"/>
    </row>
    <row r="68" spans="1:15" x14ac:dyDescent="0.25">
      <c r="B68" s="1" t="s">
        <v>402</v>
      </c>
      <c r="C68" s="340">
        <v>1</v>
      </c>
      <c r="D68" s="340">
        <f>PI()*(C68^2)</f>
        <v>3.1415926535897931</v>
      </c>
      <c r="E68" s="341">
        <v>19.37</v>
      </c>
      <c r="F68" s="341">
        <f>D68*E68</f>
        <v>60.852649700034299</v>
      </c>
      <c r="G68" s="342">
        <f>F68*H64</f>
        <v>121.7052994000686</v>
      </c>
      <c r="H68" s="345"/>
    </row>
    <row r="69" spans="1:15" x14ac:dyDescent="0.25">
      <c r="A69" s="1077" t="s">
        <v>394</v>
      </c>
      <c r="B69" s="1078"/>
      <c r="C69" s="340">
        <v>1</v>
      </c>
      <c r="D69" s="340">
        <f>PI()*(C69^2)</f>
        <v>3.1415926535897931</v>
      </c>
      <c r="E69" s="341">
        <v>20.58</v>
      </c>
      <c r="F69" s="341">
        <f>D69*E69</f>
        <v>64.653976810877936</v>
      </c>
      <c r="G69" s="342">
        <f>F69*H66</f>
        <v>129.30795362175587</v>
      </c>
      <c r="H69" s="327"/>
    </row>
    <row r="70" spans="1:15" x14ac:dyDescent="0.25">
      <c r="B70" s="996" t="s">
        <v>392</v>
      </c>
      <c r="C70" s="996"/>
      <c r="D70" s="996"/>
      <c r="E70" s="996"/>
      <c r="F70" s="996"/>
      <c r="G70" s="996"/>
      <c r="H70" s="327"/>
    </row>
    <row r="71" spans="1:15" x14ac:dyDescent="0.25">
      <c r="B71" s="8" t="s">
        <v>392</v>
      </c>
      <c r="C71" s="340"/>
      <c r="D71" s="340"/>
      <c r="E71" s="341">
        <v>2.5</v>
      </c>
      <c r="F71" s="341">
        <f>D71*E71</f>
        <v>0</v>
      </c>
      <c r="G71" s="342">
        <f>F71*2</f>
        <v>0</v>
      </c>
      <c r="H71" s="327"/>
    </row>
    <row r="72" spans="1:15" x14ac:dyDescent="0.25">
      <c r="B72" s="996" t="s">
        <v>381</v>
      </c>
      <c r="C72" s="996"/>
      <c r="D72" s="996"/>
      <c r="E72" s="996"/>
      <c r="F72" s="996"/>
      <c r="G72" s="996"/>
      <c r="H72" s="327"/>
    </row>
    <row r="73" spans="1:15" x14ac:dyDescent="0.25">
      <c r="B73" s="1" t="s">
        <v>389</v>
      </c>
      <c r="C73" s="340"/>
      <c r="D73" s="340"/>
      <c r="E73" s="341">
        <v>10.08</v>
      </c>
      <c r="F73" s="341">
        <f>D73*E73</f>
        <v>0</v>
      </c>
      <c r="G73" s="342">
        <f>F73</f>
        <v>0</v>
      </c>
      <c r="H73" s="327"/>
    </row>
    <row r="74" spans="1:15" x14ac:dyDescent="0.25">
      <c r="H74" s="92"/>
    </row>
    <row r="75" spans="1:15" ht="22.5" customHeight="1" thickBot="1" x14ac:dyDescent="0.3">
      <c r="B75" s="1057"/>
      <c r="C75" s="1057"/>
      <c r="D75" s="82" t="s">
        <v>40</v>
      </c>
      <c r="E75" s="82" t="s">
        <v>42</v>
      </c>
      <c r="F75" s="82" t="s">
        <v>41</v>
      </c>
      <c r="H75" s="92"/>
    </row>
    <row r="76" spans="1:15" ht="22.5" customHeight="1" x14ac:dyDescent="0.25">
      <c r="B76" s="935" t="s">
        <v>322</v>
      </c>
      <c r="C76" s="936"/>
      <c r="D76" s="347">
        <f>1.7*2</f>
        <v>3.4</v>
      </c>
      <c r="E76" s="347">
        <v>16</v>
      </c>
      <c r="F76" s="320">
        <f t="shared" ref="F76:F81" si="13">D76*E76</f>
        <v>54.4</v>
      </c>
      <c r="G76" s="1061">
        <f>F76+F77</f>
        <v>90.1</v>
      </c>
      <c r="H76" s="1064"/>
    </row>
    <row r="77" spans="1:15" ht="22.5" customHeight="1" thickBot="1" x14ac:dyDescent="0.3">
      <c r="B77" s="1059" t="s">
        <v>323</v>
      </c>
      <c r="C77" s="1060"/>
      <c r="D77" s="346">
        <f>1.7*2</f>
        <v>3.4</v>
      </c>
      <c r="E77" s="346">
        <v>10.5</v>
      </c>
      <c r="F77" s="348">
        <f>D77*E77</f>
        <v>35.699999999999996</v>
      </c>
      <c r="G77" s="1063"/>
      <c r="H77" s="1064"/>
    </row>
    <row r="78" spans="1:15" ht="22.5" customHeight="1" x14ac:dyDescent="0.25">
      <c r="A78" s="1022" t="s">
        <v>334</v>
      </c>
      <c r="B78" s="1033" t="s">
        <v>288</v>
      </c>
      <c r="C78" s="1026"/>
      <c r="D78" s="369">
        <v>0.42</v>
      </c>
      <c r="E78" s="369">
        <v>0.55000000000000004</v>
      </c>
      <c r="F78" s="349">
        <f t="shared" si="13"/>
        <v>0.23100000000000001</v>
      </c>
      <c r="G78" s="638" t="s">
        <v>43</v>
      </c>
    </row>
    <row r="79" spans="1:15" ht="22.5" customHeight="1" x14ac:dyDescent="0.25">
      <c r="A79" s="1023"/>
      <c r="B79" s="1034" t="s">
        <v>146</v>
      </c>
      <c r="C79" s="1028"/>
      <c r="D79" s="310">
        <v>0.42</v>
      </c>
      <c r="E79" s="310">
        <v>0.75</v>
      </c>
      <c r="F79" s="350">
        <f t="shared" si="13"/>
        <v>0.315</v>
      </c>
      <c r="G79" s="243" t="s">
        <v>43</v>
      </c>
    </row>
    <row r="80" spans="1:15" ht="22.5" customHeight="1" x14ac:dyDescent="0.25">
      <c r="A80" s="1023"/>
      <c r="B80" s="1035" t="s">
        <v>288</v>
      </c>
      <c r="C80" s="1030"/>
      <c r="D80" s="370">
        <v>0.42059999999999997</v>
      </c>
      <c r="E80" s="370">
        <v>0.55000000000000004</v>
      </c>
      <c r="F80" s="350">
        <f t="shared" si="13"/>
        <v>0.23133000000000001</v>
      </c>
      <c r="G80" s="243" t="s">
        <v>43</v>
      </c>
    </row>
    <row r="81" spans="1:21" ht="22.5" customHeight="1" thickBot="1" x14ac:dyDescent="0.3">
      <c r="A81" s="1024"/>
      <c r="B81" s="1036" t="s">
        <v>146</v>
      </c>
      <c r="C81" s="1032"/>
      <c r="D81" s="353">
        <v>0.42059999999999997</v>
      </c>
      <c r="E81" s="353">
        <v>0.55000000000000004</v>
      </c>
      <c r="F81" s="351">
        <f t="shared" si="13"/>
        <v>0.23133000000000001</v>
      </c>
      <c r="G81" s="243" t="s">
        <v>43</v>
      </c>
    </row>
    <row r="82" spans="1:21" ht="22.5" customHeight="1" x14ac:dyDescent="0.25">
      <c r="A82" s="1022" t="s">
        <v>335</v>
      </c>
      <c r="B82" s="1025" t="s">
        <v>289</v>
      </c>
      <c r="C82" s="1026"/>
      <c r="D82" s="369">
        <v>0.42</v>
      </c>
      <c r="E82" s="369">
        <v>0.55000000000000004</v>
      </c>
      <c r="F82" s="349">
        <f>D82*E82</f>
        <v>0.23100000000000001</v>
      </c>
      <c r="G82" s="243" t="s">
        <v>43</v>
      </c>
    </row>
    <row r="83" spans="1:21" ht="22.5" customHeight="1" x14ac:dyDescent="0.25">
      <c r="A83" s="1023"/>
      <c r="B83" s="1027" t="s">
        <v>333</v>
      </c>
      <c r="C83" s="1028"/>
      <c r="D83" s="310">
        <v>0.42</v>
      </c>
      <c r="E83" s="310">
        <v>0.75</v>
      </c>
      <c r="F83" s="350">
        <f>D83*E83</f>
        <v>0.315</v>
      </c>
      <c r="G83" s="243" t="s">
        <v>43</v>
      </c>
    </row>
    <row r="84" spans="1:21" ht="22.5" customHeight="1" x14ac:dyDescent="0.25">
      <c r="A84" s="1023"/>
      <c r="B84" s="1029" t="s">
        <v>289</v>
      </c>
      <c r="C84" s="1030"/>
      <c r="D84" s="370">
        <v>0.42059999999999997</v>
      </c>
      <c r="E84" s="370">
        <v>0.55000000000000004</v>
      </c>
      <c r="F84" s="350">
        <f>D84*E84</f>
        <v>0.23133000000000001</v>
      </c>
      <c r="G84" s="243" t="s">
        <v>43</v>
      </c>
    </row>
    <row r="85" spans="1:21" ht="22.5" customHeight="1" thickBot="1" x14ac:dyDescent="0.3">
      <c r="A85" s="1024"/>
      <c r="B85" s="1031" t="s">
        <v>333</v>
      </c>
      <c r="C85" s="1032"/>
      <c r="D85" s="353">
        <v>0.42059999999999997</v>
      </c>
      <c r="E85" s="353">
        <v>0.6</v>
      </c>
      <c r="F85" s="351">
        <f>D85*E85</f>
        <v>0.25235999999999997</v>
      </c>
      <c r="G85" s="243" t="s">
        <v>43</v>
      </c>
    </row>
    <row r="86" spans="1:21" ht="22.5" customHeight="1" x14ac:dyDescent="0.25">
      <c r="A86" s="357"/>
      <c r="B86" s="1055" t="s">
        <v>336</v>
      </c>
      <c r="C86" s="1055"/>
      <c r="D86" s="371">
        <v>0.42</v>
      </c>
      <c r="E86" s="371">
        <v>0.22500000000000001</v>
      </c>
      <c r="F86" s="356">
        <f>D86*E86*J86</f>
        <v>0.94500000000000006</v>
      </c>
      <c r="G86" s="639" t="s">
        <v>43</v>
      </c>
      <c r="H86" t="s">
        <v>279</v>
      </c>
      <c r="J86" s="584">
        <v>10</v>
      </c>
    </row>
    <row r="87" spans="1:21" ht="22.5" customHeight="1" x14ac:dyDescent="0.25">
      <c r="A87" s="357"/>
      <c r="B87" s="1056" t="s">
        <v>337</v>
      </c>
      <c r="C87" s="1056"/>
      <c r="D87" s="358">
        <v>0.42</v>
      </c>
      <c r="E87" s="358">
        <v>0.28999999999999998</v>
      </c>
      <c r="F87" s="356">
        <f>D87*E87*J86</f>
        <v>1.218</v>
      </c>
      <c r="G87" s="639" t="s">
        <v>43</v>
      </c>
    </row>
    <row r="88" spans="1:21" ht="22.5" customHeight="1" x14ac:dyDescent="0.25">
      <c r="A88" s="2"/>
      <c r="B88" s="924" t="s">
        <v>144</v>
      </c>
      <c r="C88" s="924"/>
      <c r="D88" s="372"/>
      <c r="E88" s="372"/>
      <c r="F88" s="318">
        <f>(D88*E88)*2</f>
        <v>0</v>
      </c>
    </row>
    <row r="89" spans="1:21" ht="22.5" customHeight="1" x14ac:dyDescent="0.25">
      <c r="A89" s="2"/>
      <c r="B89" s="1051" t="s">
        <v>145</v>
      </c>
      <c r="C89" s="1051"/>
      <c r="D89" s="76"/>
      <c r="E89" s="76"/>
      <c r="F89" s="318">
        <f>(D89*E89)*2</f>
        <v>0</v>
      </c>
    </row>
    <row r="90" spans="1:21" ht="22.5" customHeight="1" x14ac:dyDescent="0.25">
      <c r="B90" s="1052" t="s">
        <v>285</v>
      </c>
      <c r="C90" s="1053"/>
      <c r="D90" s="1053"/>
      <c r="E90" s="1054"/>
      <c r="F90" s="368">
        <f>SUM(F78:F89)</f>
        <v>4.2013500000000006</v>
      </c>
    </row>
    <row r="92" spans="1:21" x14ac:dyDescent="0.25">
      <c r="G92" t="s">
        <v>150</v>
      </c>
      <c r="R92" t="s">
        <v>150</v>
      </c>
    </row>
    <row r="93" spans="1:21" x14ac:dyDescent="0.25">
      <c r="B93" s="996" t="s">
        <v>175</v>
      </c>
      <c r="C93" s="996"/>
      <c r="D93" s="1" t="s">
        <v>40</v>
      </c>
      <c r="E93" s="1" t="s">
        <v>39</v>
      </c>
      <c r="F93" s="1" t="s">
        <v>85</v>
      </c>
      <c r="G93" s="1" t="s">
        <v>149</v>
      </c>
      <c r="H93" s="1" t="str">
        <f>CONCATENATE(I93," pzas")</f>
        <v>10 pzas</v>
      </c>
      <c r="I93">
        <v>10</v>
      </c>
      <c r="J93" t="s">
        <v>247</v>
      </c>
      <c r="M93" s="996" t="s">
        <v>175</v>
      </c>
      <c r="N93" s="996"/>
      <c r="O93" s="1" t="s">
        <v>40</v>
      </c>
      <c r="P93" s="1" t="s">
        <v>39</v>
      </c>
      <c r="Q93" s="1" t="s">
        <v>85</v>
      </c>
      <c r="R93" s="1" t="s">
        <v>149</v>
      </c>
      <c r="S93" s="1" t="str">
        <f>CONCATENATE(T93," pzas")</f>
        <v>10 pzas</v>
      </c>
      <c r="T93">
        <v>10</v>
      </c>
      <c r="U93" t="s">
        <v>247</v>
      </c>
    </row>
    <row r="94" spans="1:21" x14ac:dyDescent="0.25">
      <c r="B94" s="996" t="s">
        <v>314</v>
      </c>
      <c r="C94" s="996"/>
      <c r="D94" s="1">
        <f>0.4*0.5</f>
        <v>0.2</v>
      </c>
      <c r="E94" s="1">
        <v>5.7000000000000002E-2</v>
      </c>
      <c r="F94" s="74">
        <f>D94*E94</f>
        <v>1.14E-2</v>
      </c>
      <c r="G94" s="75">
        <f>F94*1000</f>
        <v>11.4</v>
      </c>
      <c r="H94" s="1">
        <f>G94*I93</f>
        <v>114</v>
      </c>
      <c r="I94" t="s">
        <v>43</v>
      </c>
      <c r="M94" s="996" t="s">
        <v>314</v>
      </c>
      <c r="N94" s="996"/>
      <c r="O94" s="1">
        <f>0.4*0.5</f>
        <v>0.2</v>
      </c>
      <c r="P94" s="1">
        <v>7.2999999999999995E-2</v>
      </c>
      <c r="Q94" s="74">
        <f>O94*P94</f>
        <v>1.46E-2</v>
      </c>
      <c r="R94" s="75">
        <f>Q94*1000</f>
        <v>14.6</v>
      </c>
      <c r="S94" s="1">
        <f>R94*T93</f>
        <v>146</v>
      </c>
      <c r="T94" t="s">
        <v>43</v>
      </c>
    </row>
    <row r="95" spans="1:21" x14ac:dyDescent="0.25">
      <c r="B95" s="996" t="s">
        <v>86</v>
      </c>
      <c r="C95" s="996"/>
      <c r="D95" s="1">
        <f>0.4*0.4</f>
        <v>0.16000000000000003</v>
      </c>
      <c r="E95" s="76">
        <v>1.2E-2</v>
      </c>
      <c r="F95" s="77">
        <f>D95*E95</f>
        <v>1.9200000000000005E-3</v>
      </c>
      <c r="G95" s="75">
        <f>(F95*7850)*4</f>
        <v>60.288000000000018</v>
      </c>
      <c r="H95" s="1">
        <f>G95*I93</f>
        <v>602.88000000000022</v>
      </c>
      <c r="I95" t="s">
        <v>43</v>
      </c>
      <c r="M95" s="996" t="s">
        <v>86</v>
      </c>
      <c r="N95" s="996"/>
      <c r="O95" s="1">
        <f>0.4*0.4</f>
        <v>0.16000000000000003</v>
      </c>
      <c r="P95" s="76">
        <v>1.2E-2</v>
      </c>
      <c r="Q95" s="77">
        <f>O95*P95</f>
        <v>1.9200000000000005E-3</v>
      </c>
      <c r="R95" s="75">
        <f>(Q95*7850)*5</f>
        <v>75.360000000000028</v>
      </c>
      <c r="S95" s="1">
        <f>R95*T93</f>
        <v>753.60000000000025</v>
      </c>
      <c r="T95" t="s">
        <v>43</v>
      </c>
    </row>
    <row r="98" spans="2:21" x14ac:dyDescent="0.25">
      <c r="B98" s="996" t="s">
        <v>178</v>
      </c>
      <c r="C98" s="996"/>
      <c r="D98" s="1" t="s">
        <v>40</v>
      </c>
      <c r="E98" s="1" t="s">
        <v>39</v>
      </c>
      <c r="F98" s="1" t="s">
        <v>173</v>
      </c>
      <c r="G98" s="1" t="s">
        <v>149</v>
      </c>
      <c r="H98" s="1" t="s">
        <v>177</v>
      </c>
      <c r="M98" s="996" t="s">
        <v>178</v>
      </c>
      <c r="N98" s="996"/>
      <c r="O98" s="1" t="s">
        <v>40</v>
      </c>
      <c r="P98" s="1" t="s">
        <v>39</v>
      </c>
      <c r="Q98" s="1" t="s">
        <v>173</v>
      </c>
      <c r="R98" s="1" t="s">
        <v>149</v>
      </c>
      <c r="S98" s="1" t="s">
        <v>177</v>
      </c>
    </row>
    <row r="99" spans="2:21" x14ac:dyDescent="0.25">
      <c r="B99" s="996" t="s">
        <v>176</v>
      </c>
      <c r="C99" s="996"/>
      <c r="D99" s="1">
        <f>0.3*0.35</f>
        <v>0.105</v>
      </c>
      <c r="E99" s="1">
        <v>2.5000000000000001E-2</v>
      </c>
      <c r="F99" s="74">
        <f>D99*E99</f>
        <v>2.6250000000000002E-3</v>
      </c>
      <c r="G99" s="75">
        <f>F99*1000</f>
        <v>2.625</v>
      </c>
      <c r="H99" s="1">
        <f>G99*2</f>
        <v>5.25</v>
      </c>
      <c r="I99" t="s">
        <v>43</v>
      </c>
      <c r="M99" s="996" t="s">
        <v>176</v>
      </c>
      <c r="N99" s="996"/>
      <c r="O99" s="1">
        <f>0.3*0.35</f>
        <v>0.105</v>
      </c>
      <c r="P99" s="1">
        <v>2.5000000000000001E-2</v>
      </c>
      <c r="Q99" s="74">
        <f>O99*P99</f>
        <v>2.6250000000000002E-3</v>
      </c>
      <c r="R99" s="75">
        <f>Q99*1000</f>
        <v>2.625</v>
      </c>
      <c r="S99" s="1">
        <f>R99*2</f>
        <v>5.25</v>
      </c>
      <c r="T99" t="s">
        <v>43</v>
      </c>
    </row>
    <row r="100" spans="2:21" x14ac:dyDescent="0.25">
      <c r="B100" s="996" t="s">
        <v>174</v>
      </c>
      <c r="C100" s="996"/>
      <c r="D100" s="1">
        <f>0.3*0.35</f>
        <v>0.105</v>
      </c>
      <c r="E100" s="76">
        <v>1.2999999999999999E-2</v>
      </c>
      <c r="F100" s="77">
        <f>D100*E100</f>
        <v>1.3649999999999999E-3</v>
      </c>
      <c r="G100" s="75">
        <f>(F100*7850)*2</f>
        <v>21.430499999999999</v>
      </c>
      <c r="H100" s="1">
        <f>G100*2</f>
        <v>42.860999999999997</v>
      </c>
      <c r="I100" t="s">
        <v>43</v>
      </c>
      <c r="M100" s="996" t="s">
        <v>174</v>
      </c>
      <c r="N100" s="996"/>
      <c r="O100" s="1">
        <f>0.3*0.35</f>
        <v>0.105</v>
      </c>
      <c r="P100" s="76">
        <v>1.2999999999999999E-2</v>
      </c>
      <c r="Q100" s="77">
        <f>O100*P100</f>
        <v>1.3649999999999999E-3</v>
      </c>
      <c r="R100" s="75">
        <f>(Q100*7850)*2</f>
        <v>21.430499999999999</v>
      </c>
      <c r="S100" s="1">
        <f>R100*2</f>
        <v>42.860999999999997</v>
      </c>
      <c r="T100" t="s">
        <v>43</v>
      </c>
    </row>
    <row r="101" spans="2:21" ht="15.75" thickBot="1" x14ac:dyDescent="0.3"/>
    <row r="102" spans="2:21" ht="15.75" thickBot="1" x14ac:dyDescent="0.3">
      <c r="F102" s="1065" t="s">
        <v>179</v>
      </c>
      <c r="G102" s="1066"/>
      <c r="H102" s="330">
        <f>H99+H94</f>
        <v>119.25</v>
      </c>
      <c r="I102" s="247" t="s">
        <v>87</v>
      </c>
      <c r="J102" t="s">
        <v>43</v>
      </c>
      <c r="Q102" s="1065" t="s">
        <v>179</v>
      </c>
      <c r="R102" s="1066"/>
      <c r="S102" s="330">
        <f>S99+S94</f>
        <v>151.25</v>
      </c>
      <c r="T102" s="247" t="s">
        <v>87</v>
      </c>
      <c r="U102" t="s">
        <v>43</v>
      </c>
    </row>
  </sheetData>
  <mergeCells count="78">
    <mergeCell ref="B9:B11"/>
    <mergeCell ref="C11:E11"/>
    <mergeCell ref="B72:G72"/>
    <mergeCell ref="H76:H77"/>
    <mergeCell ref="G76:G77"/>
    <mergeCell ref="B75:C75"/>
    <mergeCell ref="B76:C76"/>
    <mergeCell ref="H57:I57"/>
    <mergeCell ref="B22:B24"/>
    <mergeCell ref="C24:E24"/>
    <mergeCell ref="F26:G26"/>
    <mergeCell ref="L64:M64"/>
    <mergeCell ref="N64:O64"/>
    <mergeCell ref="L65:M65"/>
    <mergeCell ref="N65:O65"/>
    <mergeCell ref="B70:G70"/>
    <mergeCell ref="A69:B69"/>
    <mergeCell ref="J57:K57"/>
    <mergeCell ref="F58:G58"/>
    <mergeCell ref="H58:I58"/>
    <mergeCell ref="B45:E45"/>
    <mergeCell ref="M45:N45"/>
    <mergeCell ref="B48:E48"/>
    <mergeCell ref="F56:G56"/>
    <mergeCell ref="H56:I56"/>
    <mergeCell ref="J56:K56"/>
    <mergeCell ref="C21:E21"/>
    <mergeCell ref="B44:E44"/>
    <mergeCell ref="A32:A35"/>
    <mergeCell ref="F32:G32"/>
    <mergeCell ref="B41:E41"/>
    <mergeCell ref="B42:E42"/>
    <mergeCell ref="B100:C100"/>
    <mergeCell ref="A1:K1"/>
    <mergeCell ref="F3:G3"/>
    <mergeCell ref="B52:E52"/>
    <mergeCell ref="F57:G57"/>
    <mergeCell ref="B49:E49"/>
    <mergeCell ref="B37:E37"/>
    <mergeCell ref="B38:E38"/>
    <mergeCell ref="A4:A12"/>
    <mergeCell ref="F4:F6"/>
    <mergeCell ref="A13:A26"/>
    <mergeCell ref="B13:B15"/>
    <mergeCell ref="C15:E15"/>
    <mergeCell ref="B16:B18"/>
    <mergeCell ref="C18:E18"/>
    <mergeCell ref="B19:B21"/>
    <mergeCell ref="M100:N100"/>
    <mergeCell ref="M99:N99"/>
    <mergeCell ref="M93:N93"/>
    <mergeCell ref="M94:N94"/>
    <mergeCell ref="M95:N95"/>
    <mergeCell ref="M98:N98"/>
    <mergeCell ref="B98:C98"/>
    <mergeCell ref="A78:A81"/>
    <mergeCell ref="A82:A85"/>
    <mergeCell ref="B87:C87"/>
    <mergeCell ref="B84:C84"/>
    <mergeCell ref="B81:C81"/>
    <mergeCell ref="B88:C88"/>
    <mergeCell ref="B89:C89"/>
    <mergeCell ref="A27:A31"/>
    <mergeCell ref="Q102:R102"/>
    <mergeCell ref="F102:G102"/>
    <mergeCell ref="B77:C77"/>
    <mergeCell ref="B78:C78"/>
    <mergeCell ref="B79:C79"/>
    <mergeCell ref="B80:C80"/>
    <mergeCell ref="B85:C85"/>
    <mergeCell ref="B99:C99"/>
    <mergeCell ref="B86:C86"/>
    <mergeCell ref="B93:C93"/>
    <mergeCell ref="B83:C83"/>
    <mergeCell ref="B90:E90"/>
    <mergeCell ref="B82:C82"/>
    <mergeCell ref="B94:C94"/>
    <mergeCell ref="B95:C95"/>
  </mergeCells>
  <pageMargins left="0.7" right="0.7" top="0.75" bottom="0.75" header="0.3" footer="0.3"/>
  <pageSetup orientation="portrait" r:id="rId1"/>
  <drawing r:id="rId2"/>
  <legacyDrawing r:id="rId3"/>
  <oleObjects>
    <mc:AlternateContent xmlns:mc="http://schemas.openxmlformats.org/markup-compatibility/2006">
      <mc:Choice Requires="x14">
        <oleObject progId="AutoCAD.Drawing.19" shapeId="96268" r:id="rId4">
          <objectPr defaultSize="0" autoPict="0" r:id="rId5">
            <anchor moveWithCells="1">
              <from>
                <xdr:col>5</xdr:col>
                <xdr:colOff>333375</xdr:colOff>
                <xdr:row>33</xdr:row>
                <xdr:rowOff>9525</xdr:rowOff>
              </from>
              <to>
                <xdr:col>6</xdr:col>
                <xdr:colOff>371475</xdr:colOff>
                <xdr:row>34</xdr:row>
                <xdr:rowOff>666750</xdr:rowOff>
              </to>
            </anchor>
          </objectPr>
        </oleObject>
      </mc:Choice>
      <mc:Fallback>
        <oleObject progId="AutoCAD.Drawing.19" shapeId="96268" r:id="rId4"/>
      </mc:Fallback>
    </mc:AlternateContent>
    <mc:AlternateContent xmlns:mc="http://schemas.openxmlformats.org/markup-compatibility/2006">
      <mc:Choice Requires="x14">
        <oleObject progId="AutoCAD.Drawing.19" shapeId="96269" r:id="rId6">
          <objectPr defaultSize="0" autoPict="0" r:id="rId7">
            <anchor moveWithCells="1">
              <from>
                <xdr:col>5</xdr:col>
                <xdr:colOff>647700</xdr:colOff>
                <xdr:row>31</xdr:row>
                <xdr:rowOff>0</xdr:rowOff>
              </from>
              <to>
                <xdr:col>5</xdr:col>
                <xdr:colOff>2895600</xdr:colOff>
                <xdr:row>31</xdr:row>
                <xdr:rowOff>1790700</xdr:rowOff>
              </to>
            </anchor>
          </objectPr>
        </oleObject>
      </mc:Choice>
      <mc:Fallback>
        <oleObject progId="AutoCAD.Drawing.19" shapeId="96269" r:id="rId6"/>
      </mc:Fallback>
    </mc:AlternateContent>
    <mc:AlternateContent xmlns:mc="http://schemas.openxmlformats.org/markup-compatibility/2006">
      <mc:Choice Requires="x14">
        <oleObject progId="AutoCAD.Drawing.19" shapeId="96270" r:id="rId8">
          <objectPr defaultSize="0" autoPict="0" r:id="rId5">
            <anchor moveWithCells="1">
              <from>
                <xdr:col>5</xdr:col>
                <xdr:colOff>276225</xdr:colOff>
                <xdr:row>2</xdr:row>
                <xdr:rowOff>333375</xdr:rowOff>
              </from>
              <to>
                <xdr:col>6</xdr:col>
                <xdr:colOff>304800</xdr:colOff>
                <xdr:row>7</xdr:row>
                <xdr:rowOff>66675</xdr:rowOff>
              </to>
            </anchor>
          </objectPr>
        </oleObject>
      </mc:Choice>
      <mc:Fallback>
        <oleObject progId="AutoCAD.Drawing.19" shapeId="96270" r:id="rId8"/>
      </mc:Fallback>
    </mc:AlternateContent>
    <mc:AlternateContent xmlns:mc="http://schemas.openxmlformats.org/markup-compatibility/2006">
      <mc:Choice Requires="x14">
        <oleObject progId="AutoCAD.Drawing.19" shapeId="96271" r:id="rId9">
          <objectPr defaultSize="0" autoPict="0" r:id="rId10">
            <anchor moveWithCells="1">
              <from>
                <xdr:col>5</xdr:col>
                <xdr:colOff>704850</xdr:colOff>
                <xdr:row>6</xdr:row>
                <xdr:rowOff>200025</xdr:rowOff>
              </from>
              <to>
                <xdr:col>5</xdr:col>
                <xdr:colOff>2676525</xdr:colOff>
                <xdr:row>11</xdr:row>
                <xdr:rowOff>228600</xdr:rowOff>
              </to>
            </anchor>
          </objectPr>
        </oleObject>
      </mc:Choice>
      <mc:Fallback>
        <oleObject progId="AutoCAD.Drawing.19" shapeId="96271" r:id="rId9"/>
      </mc:Fallback>
    </mc:AlternateContent>
    <mc:AlternateContent xmlns:mc="http://schemas.openxmlformats.org/markup-compatibility/2006">
      <mc:Choice Requires="x14">
        <oleObject progId="AutoCAD.Drawing.19" shapeId="96272" r:id="rId11">
          <objectPr defaultSize="0" autoPict="0" r:id="rId5">
            <anchor moveWithCells="1">
              <from>
                <xdr:col>5</xdr:col>
                <xdr:colOff>0</xdr:colOff>
                <xdr:row>14</xdr:row>
                <xdr:rowOff>257175</xdr:rowOff>
              </from>
              <to>
                <xdr:col>6</xdr:col>
                <xdr:colOff>28575</xdr:colOff>
                <xdr:row>20</xdr:row>
                <xdr:rowOff>276225</xdr:rowOff>
              </to>
            </anchor>
          </objectPr>
        </oleObject>
      </mc:Choice>
      <mc:Fallback>
        <oleObject progId="AutoCAD.Drawing.19" shapeId="96272" r:id="rId11"/>
      </mc:Fallback>
    </mc:AlternateContent>
    <mc:AlternateContent xmlns:mc="http://schemas.openxmlformats.org/markup-compatibility/2006">
      <mc:Choice Requires="x14">
        <oleObject progId="AutoCAD.Drawing.19" shapeId="96273" r:id="rId12">
          <objectPr defaultSize="0" autoPict="0" r:id="rId10">
            <anchor moveWithCells="1">
              <from>
                <xdr:col>5</xdr:col>
                <xdr:colOff>704850</xdr:colOff>
                <xdr:row>23</xdr:row>
                <xdr:rowOff>66675</xdr:rowOff>
              </from>
              <to>
                <xdr:col>5</xdr:col>
                <xdr:colOff>2790825</xdr:colOff>
                <xdr:row>26</xdr:row>
                <xdr:rowOff>133350</xdr:rowOff>
              </to>
            </anchor>
          </objectPr>
        </oleObject>
      </mc:Choice>
      <mc:Fallback>
        <oleObject progId="AutoCAD.Drawing.19" shapeId="96273" r:id="rId12"/>
      </mc:Fallback>
    </mc:AlternateContent>
    <mc:AlternateContent xmlns:mc="http://schemas.openxmlformats.org/markup-compatibility/2006">
      <mc:Choice Requires="x14">
        <oleObject progId="AutoCAD.Drawing.19" shapeId="96274" r:id="rId13">
          <objectPr defaultSize="0" autoPict="0" r:id="rId5">
            <anchor moveWithCells="1">
              <from>
                <xdr:col>5</xdr:col>
                <xdr:colOff>238125</xdr:colOff>
                <xdr:row>27</xdr:row>
                <xdr:rowOff>19050</xdr:rowOff>
              </from>
              <to>
                <xdr:col>6</xdr:col>
                <xdr:colOff>266700</xdr:colOff>
                <xdr:row>30</xdr:row>
                <xdr:rowOff>428625</xdr:rowOff>
              </to>
            </anchor>
          </objectPr>
        </oleObject>
      </mc:Choice>
      <mc:Fallback>
        <oleObject progId="AutoCAD.Drawing.19" shapeId="96274" r:id="rId13"/>
      </mc:Fallback>
    </mc:AlternateContent>
    <mc:AlternateContent xmlns:mc="http://schemas.openxmlformats.org/markup-compatibility/2006">
      <mc:Choice Requires="x14">
        <oleObject progId="AutoCAD.Drawing.19" shapeId="96275" r:id="rId14">
          <objectPr defaultSize="0" autoPict="0" r:id="rId10">
            <anchor moveWithCells="1">
              <from>
                <xdr:col>5</xdr:col>
                <xdr:colOff>762000</xdr:colOff>
                <xdr:row>25</xdr:row>
                <xdr:rowOff>723900</xdr:rowOff>
              </from>
              <to>
                <xdr:col>5</xdr:col>
                <xdr:colOff>2743200</xdr:colOff>
                <xdr:row>27</xdr:row>
                <xdr:rowOff>85725</xdr:rowOff>
              </to>
            </anchor>
          </objectPr>
        </oleObject>
      </mc:Choice>
      <mc:Fallback>
        <oleObject progId="AutoCAD.Drawing.19" shapeId="96275" r:id="rId1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93"/>
  <sheetViews>
    <sheetView showGridLines="0" topLeftCell="A37" zoomScale="85" zoomScaleNormal="85" workbookViewId="0">
      <selection activeCell="J55" sqref="J55:K55"/>
    </sheetView>
  </sheetViews>
  <sheetFormatPr baseColWidth="10" defaultRowHeight="15" x14ac:dyDescent="0.25"/>
  <cols>
    <col min="1" max="1" width="5.85546875" customWidth="1"/>
    <col min="2" max="2" width="11.42578125" bestFit="1" customWidth="1"/>
    <col min="3" max="3" width="13.5703125" customWidth="1"/>
    <col min="4" max="4" width="11" customWidth="1"/>
    <col min="5" max="5" width="12.28515625" customWidth="1"/>
    <col min="6" max="6" width="44.140625" customWidth="1"/>
    <col min="7" max="7" width="6.85546875" customWidth="1"/>
    <col min="8" max="8" width="10.42578125" customWidth="1"/>
    <col min="9" max="9" width="7.5703125" customWidth="1"/>
    <col min="10" max="10" width="9.28515625" customWidth="1"/>
    <col min="11" max="11" width="10.140625" customWidth="1"/>
    <col min="12" max="12" width="5.85546875" style="92" customWidth="1"/>
    <col min="13" max="13" width="11" customWidth="1"/>
    <col min="14" max="14" width="5.28515625" customWidth="1"/>
    <col min="15" max="15" width="16.28515625" customWidth="1"/>
    <col min="16" max="16" width="17.85546875" customWidth="1"/>
    <col min="17" max="17" width="8.85546875" customWidth="1"/>
  </cols>
  <sheetData>
    <row r="1" spans="1:20" ht="19.5" thickBot="1" x14ac:dyDescent="0.35">
      <c r="A1" s="1067" t="s">
        <v>291</v>
      </c>
      <c r="B1" s="1068"/>
      <c r="C1" s="1068"/>
      <c r="D1" s="1068"/>
      <c r="E1" s="1068"/>
      <c r="F1" s="1068"/>
      <c r="G1" s="1068"/>
      <c r="H1" s="1068"/>
      <c r="I1" s="1068"/>
      <c r="J1" s="1068"/>
      <c r="K1" s="1069"/>
    </row>
    <row r="2" spans="1:20" x14ac:dyDescent="0.25">
      <c r="A2" s="5"/>
      <c r="B2" s="6"/>
      <c r="C2" s="6"/>
      <c r="D2" s="6"/>
      <c r="E2" s="6"/>
      <c r="F2" s="6"/>
      <c r="G2" s="6"/>
      <c r="H2" s="6"/>
      <c r="I2" s="6"/>
      <c r="J2" s="6"/>
      <c r="K2" s="7"/>
      <c r="N2" s="78"/>
      <c r="O2" s="78"/>
      <c r="P2" s="78"/>
      <c r="Q2" s="78"/>
      <c r="R2" s="78"/>
      <c r="S2" s="78"/>
      <c r="T2" s="78"/>
    </row>
    <row r="3" spans="1:20" ht="15.75" thickBot="1" x14ac:dyDescent="0.3">
      <c r="A3" s="4" t="s">
        <v>0</v>
      </c>
      <c r="B3" s="82" t="s">
        <v>1</v>
      </c>
      <c r="C3" s="82" t="s">
        <v>2</v>
      </c>
      <c r="D3" s="82" t="s">
        <v>3</v>
      </c>
      <c r="E3" s="82" t="s">
        <v>4</v>
      </c>
      <c r="F3" s="1057" t="s">
        <v>5</v>
      </c>
      <c r="G3" s="1057"/>
      <c r="H3" s="82" t="s">
        <v>7</v>
      </c>
      <c r="I3" s="82" t="s">
        <v>8</v>
      </c>
      <c r="J3" s="82" t="s">
        <v>28</v>
      </c>
      <c r="K3" s="82" t="s">
        <v>9</v>
      </c>
      <c r="L3" s="327"/>
      <c r="N3" s="78"/>
      <c r="O3" s="78"/>
      <c r="P3" s="78"/>
      <c r="Q3" s="78"/>
      <c r="R3" s="78"/>
      <c r="S3" s="78"/>
      <c r="T3" s="78"/>
    </row>
    <row r="4" spans="1:20" ht="32.25" customHeight="1" thickBot="1" x14ac:dyDescent="0.3">
      <c r="A4" s="975" t="s">
        <v>10</v>
      </c>
      <c r="B4" s="903" t="s">
        <v>6</v>
      </c>
      <c r="C4" s="248" t="s">
        <v>16</v>
      </c>
      <c r="D4" s="415">
        <f>19*2</f>
        <v>38</v>
      </c>
      <c r="E4" s="272">
        <f>H4+(I4*2)+(J4*2)</f>
        <v>1109</v>
      </c>
      <c r="F4" s="979"/>
      <c r="G4" s="979"/>
      <c r="H4" s="267">
        <f>1009-(2*5)-(2*VLOOKUP(C4,$O$5:$S$11,4,FALSE))</f>
        <v>981</v>
      </c>
      <c r="I4" s="248">
        <v>50</v>
      </c>
      <c r="J4" s="248">
        <f t="shared" ref="J4:J9" si="0">VLOOKUP(C4,$O$5:$S$11,5,FALSE)</f>
        <v>14</v>
      </c>
      <c r="K4" s="104">
        <f>(E4/100)*D4*VLOOKUP(C4,$O$5:$S$11,3,FALSE)</f>
        <v>1681.4658000000002</v>
      </c>
      <c r="L4" s="383" t="s">
        <v>43</v>
      </c>
      <c r="M4" s="20"/>
      <c r="N4" s="11"/>
      <c r="O4" s="238" t="s">
        <v>19</v>
      </c>
      <c r="P4" s="239" t="s">
        <v>20</v>
      </c>
      <c r="Q4" s="239" t="s">
        <v>25</v>
      </c>
      <c r="R4" s="240" t="s">
        <v>311</v>
      </c>
      <c r="S4" s="241" t="s">
        <v>312</v>
      </c>
      <c r="T4" s="78"/>
    </row>
    <row r="5" spans="1:20" ht="32.25" customHeight="1" thickBot="1" x14ac:dyDescent="0.3">
      <c r="A5" s="975"/>
      <c r="B5" s="904" t="s">
        <v>255</v>
      </c>
      <c r="C5" s="399" t="s">
        <v>16</v>
      </c>
      <c r="D5" s="382">
        <f>19*2</f>
        <v>38</v>
      </c>
      <c r="E5" s="24">
        <f>H5+(I5*2)+(J5*2)</f>
        <v>1124</v>
      </c>
      <c r="F5" s="981"/>
      <c r="G5" s="981"/>
      <c r="H5" s="268">
        <f>1024-(2*5)-(2*VLOOKUP(C5,$O$5:$S$11,4,FALSE))</f>
        <v>996</v>
      </c>
      <c r="I5" s="399">
        <v>50</v>
      </c>
      <c r="J5" s="399">
        <f t="shared" si="0"/>
        <v>14</v>
      </c>
      <c r="K5" s="106">
        <f>(E5/100)*D5*VLOOKUP(C5,$O$5:$S$11,3,FALSE)</f>
        <v>1704.2088000000001</v>
      </c>
      <c r="L5" s="383" t="s">
        <v>43</v>
      </c>
      <c r="M5" s="20"/>
      <c r="N5" s="11"/>
      <c r="O5" s="235" t="s">
        <v>243</v>
      </c>
      <c r="P5" s="236" t="s">
        <v>21</v>
      </c>
      <c r="Q5" s="262">
        <v>0.55700000000000005</v>
      </c>
      <c r="R5" s="237">
        <f>ROUNDUP((3/8*2.54*3.5),0)</f>
        <v>4</v>
      </c>
      <c r="S5" s="260">
        <f>ROUND(+PI()*R5*2/4,0)</f>
        <v>6</v>
      </c>
      <c r="T5" s="78"/>
    </row>
    <row r="6" spans="1:20" ht="32.25" customHeight="1" thickBot="1" x14ac:dyDescent="0.3">
      <c r="A6" s="975"/>
      <c r="B6" s="904" t="s">
        <v>11</v>
      </c>
      <c r="C6" s="399" t="s">
        <v>17</v>
      </c>
      <c r="D6" s="382">
        <f>6*4</f>
        <v>24</v>
      </c>
      <c r="E6" s="24">
        <f>H6+(I6*2)+(J6*2)</f>
        <v>1107</v>
      </c>
      <c r="F6" s="981"/>
      <c r="G6" s="981"/>
      <c r="H6" s="268">
        <f>1009-(2*5)-(2*VLOOKUP(C6,$O$5:$S$11,4,FALSE))</f>
        <v>985</v>
      </c>
      <c r="I6" s="399">
        <v>50</v>
      </c>
      <c r="J6" s="399">
        <f t="shared" si="0"/>
        <v>11</v>
      </c>
      <c r="K6" s="106">
        <f>(E6/100)*D6*VLOOKUP(C6,$O$5:$S$11,3,FALSE)</f>
        <v>593.79480000000001</v>
      </c>
      <c r="L6" s="383" t="s">
        <v>43</v>
      </c>
      <c r="M6" s="20"/>
      <c r="N6" s="11"/>
      <c r="O6" s="9" t="s">
        <v>18</v>
      </c>
      <c r="P6" s="220" t="s">
        <v>22</v>
      </c>
      <c r="Q6" s="263">
        <v>0.996</v>
      </c>
      <c r="R6" s="352">
        <f>ROUNDUP((4/8*2.54*3.5),0)</f>
        <v>5</v>
      </c>
      <c r="S6" s="259">
        <f t="shared" ref="S6:S11" si="1">ROUND(+PI()*R6*2/4,0)</f>
        <v>8</v>
      </c>
      <c r="T6" s="78"/>
    </row>
    <row r="7" spans="1:20" ht="32.25" customHeight="1" thickBot="1" x14ac:dyDescent="0.3">
      <c r="A7" s="975"/>
      <c r="B7" s="904" t="s">
        <v>263</v>
      </c>
      <c r="C7" s="399" t="s">
        <v>17</v>
      </c>
      <c r="D7" s="382">
        <f>6*4</f>
        <v>24</v>
      </c>
      <c r="E7" s="24">
        <f>H7+(I7*2)+(J7*2)</f>
        <v>1136</v>
      </c>
      <c r="F7" s="980"/>
      <c r="G7" s="980"/>
      <c r="H7" s="268">
        <f>1038-(2*5)-(2*VLOOKUP(C7,$O$5:$S$11,4,FALSE))</f>
        <v>1014</v>
      </c>
      <c r="I7" s="399">
        <v>50</v>
      </c>
      <c r="J7" s="399">
        <f t="shared" si="0"/>
        <v>11</v>
      </c>
      <c r="K7" s="106">
        <f>(E7/100)*D7*VLOOKUP(C7,$O$5:$S$11,3,FALSE)</f>
        <v>609.35039999999992</v>
      </c>
      <c r="L7" s="383" t="s">
        <v>43</v>
      </c>
      <c r="M7" s="20"/>
      <c r="N7" s="11"/>
      <c r="O7" s="230" t="s">
        <v>244</v>
      </c>
      <c r="P7" s="231" t="s">
        <v>23</v>
      </c>
      <c r="Q7" s="262">
        <v>1.55</v>
      </c>
      <c r="R7" s="232">
        <f>ROUNDUP((5/8*2.54*3.5),0)</f>
        <v>6</v>
      </c>
      <c r="S7" s="261">
        <f t="shared" si="1"/>
        <v>9</v>
      </c>
      <c r="T7" s="78"/>
    </row>
    <row r="8" spans="1:20" ht="32.25" customHeight="1" thickBot="1" x14ac:dyDescent="0.3">
      <c r="A8" s="975"/>
      <c r="B8" s="905" t="s">
        <v>12</v>
      </c>
      <c r="C8" s="226" t="s">
        <v>18</v>
      </c>
      <c r="D8" s="226">
        <v>129</v>
      </c>
      <c r="E8" s="281">
        <f>(H8*2)+(I8*2)+(J8*5)+20</f>
        <v>520</v>
      </c>
      <c r="F8" s="252"/>
      <c r="G8" s="252"/>
      <c r="H8" s="280">
        <f>150-(2*5)-(2*VLOOKUP(C8,$O$5:$S$11,4,FALSE))</f>
        <v>130</v>
      </c>
      <c r="I8" s="226">
        <f>120-(2*5)-(2*VLOOKUP(C8,$O$5:$S$11,4,FALSE))</f>
        <v>100</v>
      </c>
      <c r="J8" s="226">
        <f t="shared" si="0"/>
        <v>8</v>
      </c>
      <c r="K8" s="416">
        <f>(E8/100)*D8*VLOOKUP(C8,$O$5:$Q$11,3,FALSE)</f>
        <v>668.11680000000001</v>
      </c>
      <c r="L8" s="383" t="s">
        <v>43</v>
      </c>
      <c r="M8" s="880" t="s">
        <v>242</v>
      </c>
      <c r="N8" s="11"/>
      <c r="O8" s="9" t="s">
        <v>17</v>
      </c>
      <c r="P8" s="220" t="s">
        <v>24</v>
      </c>
      <c r="Q8" s="263">
        <v>2.2349999999999999</v>
      </c>
      <c r="R8" s="352">
        <f>ROUNDUP((6/8*2.54*3.5),0)</f>
        <v>7</v>
      </c>
      <c r="S8" s="259">
        <f t="shared" si="1"/>
        <v>11</v>
      </c>
      <c r="T8" s="78"/>
    </row>
    <row r="9" spans="1:20" ht="32.25" customHeight="1" thickBot="1" x14ac:dyDescent="0.3">
      <c r="A9" s="975"/>
      <c r="B9" s="905" t="s">
        <v>261</v>
      </c>
      <c r="C9" s="870" t="s">
        <v>18</v>
      </c>
      <c r="D9" s="870">
        <v>4</v>
      </c>
      <c r="E9" s="871">
        <f>(H9*2)+(I9*2)+(J9*5)+20</f>
        <v>596</v>
      </c>
      <c r="F9" s="252"/>
      <c r="G9" s="427" t="s">
        <v>31</v>
      </c>
      <c r="H9" s="280">
        <f>128-(2*VLOOKUP(C9,$O$5:$S$11,4,FALSE))</f>
        <v>118</v>
      </c>
      <c r="I9" s="226">
        <f>170-(2*5)-(2*VLOOKUP(C9,$O$5:$S$11,4,FALSE))</f>
        <v>150</v>
      </c>
      <c r="J9" s="870">
        <f t="shared" si="0"/>
        <v>8</v>
      </c>
      <c r="K9" s="878">
        <f>(((E9+E10)/2)/100)*D9*VLOOKUP(C9,$O$5:$S$11,3,FALSE)*M9</f>
        <v>118.56384</v>
      </c>
      <c r="L9" s="383" t="s">
        <v>43</v>
      </c>
      <c r="M9" s="632">
        <v>6</v>
      </c>
      <c r="N9" s="11"/>
      <c r="O9" s="230" t="s">
        <v>16</v>
      </c>
      <c r="P9" s="233">
        <v>1</v>
      </c>
      <c r="Q9" s="262">
        <v>3.99</v>
      </c>
      <c r="R9" s="232">
        <f>ROUNDUP((8/8*2.54*3.5),0)</f>
        <v>9</v>
      </c>
      <c r="S9" s="260">
        <f t="shared" si="1"/>
        <v>14</v>
      </c>
      <c r="T9" s="78"/>
    </row>
    <row r="10" spans="1:20" ht="32.25" customHeight="1" thickBot="1" x14ac:dyDescent="0.3">
      <c r="A10" s="975"/>
      <c r="B10" s="280"/>
      <c r="C10" s="870"/>
      <c r="D10" s="870"/>
      <c r="E10" s="871">
        <f>(H10*2)+(I10*2)+(J10*5)+20</f>
        <v>396</v>
      </c>
      <c r="F10" s="252"/>
      <c r="G10" s="427" t="s">
        <v>32</v>
      </c>
      <c r="H10" s="280">
        <f>28-(2*VLOOKUP(C9,$O$5:$S$11,4,FALSE))</f>
        <v>18</v>
      </c>
      <c r="I10" s="226">
        <f>170-(2*5)-(2*VLOOKUP(C9,$O$5:$S$11,4,FALSE))</f>
        <v>150</v>
      </c>
      <c r="J10" s="870">
        <f>VLOOKUP(C9,$O$5:$S$11,5,FALSE)</f>
        <v>8</v>
      </c>
      <c r="K10" s="879"/>
      <c r="L10" s="869"/>
      <c r="M10" s="868"/>
      <c r="N10" s="874"/>
      <c r="O10" s="9" t="s">
        <v>290</v>
      </c>
      <c r="P10" s="221">
        <v>1.25</v>
      </c>
      <c r="Q10" s="263">
        <v>6.2249999999999996</v>
      </c>
      <c r="R10" s="352">
        <f>ROUNDUP((10/8*2.54*3.5),0)</f>
        <v>12</v>
      </c>
      <c r="S10" s="259">
        <f t="shared" si="1"/>
        <v>19</v>
      </c>
      <c r="T10" s="78"/>
    </row>
    <row r="11" spans="1:20" ht="32.25" customHeight="1" thickBot="1" x14ac:dyDescent="0.3">
      <c r="A11" s="975"/>
      <c r="B11" s="280"/>
      <c r="C11" s="1018" t="str">
        <f>CONCATENATE(M9," juegos de ",D9," vars.")</f>
        <v>6 juegos de 4 vars.</v>
      </c>
      <c r="D11" s="1018"/>
      <c r="E11" s="1019"/>
      <c r="F11" s="252"/>
      <c r="G11" s="427" t="s">
        <v>88</v>
      </c>
      <c r="H11" s="439">
        <f>(H9-H10)/(D9-1)</f>
        <v>33.333333333333336</v>
      </c>
      <c r="I11" s="8"/>
      <c r="J11" s="870"/>
      <c r="K11" s="879"/>
      <c r="L11" s="383" t="s">
        <v>43</v>
      </c>
      <c r="M11" s="20"/>
      <c r="N11" s="11"/>
      <c r="O11" s="230" t="s">
        <v>286</v>
      </c>
      <c r="P11" s="234">
        <v>1.5</v>
      </c>
      <c r="Q11" s="262">
        <v>8.9380000000000006</v>
      </c>
      <c r="R11" s="232">
        <f>ROUNDUP((12/8*2.54*3.5),0)</f>
        <v>14</v>
      </c>
      <c r="S11" s="258">
        <f t="shared" si="1"/>
        <v>22</v>
      </c>
      <c r="T11" s="78"/>
    </row>
    <row r="12" spans="1:20" ht="32.25" customHeight="1" thickBot="1" x14ac:dyDescent="0.3">
      <c r="A12" s="975"/>
      <c r="B12" s="905" t="s">
        <v>13</v>
      </c>
      <c r="C12" s="226" t="s">
        <v>18</v>
      </c>
      <c r="D12" s="226">
        <f>(D8*2)+16</f>
        <v>274</v>
      </c>
      <c r="E12" s="281">
        <f>(H12*2)+(I12*2)+(J12*5)+20</f>
        <v>426</v>
      </c>
      <c r="F12" s="271"/>
      <c r="G12" s="271"/>
      <c r="H12" s="280">
        <f>83-(2*VLOOKUP(C12,O5:S11,4,FALSE))</f>
        <v>73</v>
      </c>
      <c r="I12" s="226">
        <f>120-(2*VLOOKUP(C12,$O$5:$S$11,4,FALSE))</f>
        <v>110</v>
      </c>
      <c r="J12" s="226">
        <f>VLOOKUP(C12,$O$5:$S$11,5,FALSE)</f>
        <v>8</v>
      </c>
      <c r="K12" s="416">
        <f>(E12/100)*D12*VLOOKUP(C12,$O$5:$Q$11,3,FALSE)</f>
        <v>1162.57104</v>
      </c>
      <c r="L12" s="383" t="s">
        <v>43</v>
      </c>
      <c r="M12" s="757" t="s">
        <v>242</v>
      </c>
      <c r="N12" s="11"/>
      <c r="T12" s="78"/>
    </row>
    <row r="13" spans="1:20" ht="26.25" customHeight="1" x14ac:dyDescent="0.25">
      <c r="A13" s="1108" t="s">
        <v>26</v>
      </c>
      <c r="B13" s="1111" t="s">
        <v>98</v>
      </c>
      <c r="C13" s="248" t="s">
        <v>18</v>
      </c>
      <c r="D13" s="248">
        <v>6</v>
      </c>
      <c r="E13" s="272">
        <f>H13+(I13*2)+(2*J13)</f>
        <v>199</v>
      </c>
      <c r="F13" s="742"/>
      <c r="G13" s="274"/>
      <c r="H13" s="752">
        <f>78-(4.5*2)-2*(VLOOKUP(C13,$O$5:$S$11,4,FALSE))</f>
        <v>59</v>
      </c>
      <c r="I13" s="248">
        <f>(30)+30-(3-(VLOOKUP(C25,$O$5:$S$11,4,FALSE)))</f>
        <v>62</v>
      </c>
      <c r="J13" s="248">
        <f>VLOOKUP(C13,$O$5:$S$11,5,FALSE)</f>
        <v>8</v>
      </c>
      <c r="K13" s="754">
        <f>((((E13+E14)/2)/100)*D13*VLOOKUP(C13,$O$5:$Q$11,3,FALSE))*M13</f>
        <v>100.15776</v>
      </c>
      <c r="L13" s="383" t="s">
        <v>143</v>
      </c>
      <c r="M13" s="632">
        <v>10</v>
      </c>
      <c r="N13" s="11"/>
      <c r="O13" s="11"/>
      <c r="P13" s="379"/>
      <c r="Q13" s="11"/>
      <c r="R13" s="11"/>
      <c r="S13" s="78"/>
      <c r="T13" s="78"/>
    </row>
    <row r="14" spans="1:20" ht="26.25" customHeight="1" x14ac:dyDescent="0.25">
      <c r="A14" s="1109"/>
      <c r="B14" s="1084"/>
      <c r="C14" s="753"/>
      <c r="D14" s="753"/>
      <c r="E14" s="756">
        <f>H14+(I14*2)+(J14*2)</f>
        <v>136.19999999999999</v>
      </c>
      <c r="F14" s="744"/>
      <c r="G14" s="252"/>
      <c r="H14" s="749">
        <f>79-(2*5)-2*(VLOOKUP(C13,$O$3:$S$14,4,FALSE))</f>
        <v>59</v>
      </c>
      <c r="I14" s="753">
        <f>(13.6+30)-3-(2*(VLOOKUP(C13,$O$5:$S$11,4,FALSE)))</f>
        <v>30.6</v>
      </c>
      <c r="J14" s="750">
        <f>VLOOKUP(C13,$O$4:$S$11,5,FALSE)</f>
        <v>8</v>
      </c>
      <c r="K14" s="754"/>
      <c r="L14" s="745"/>
      <c r="M14" s="748"/>
      <c r="N14" s="758"/>
      <c r="O14" s="758"/>
      <c r="P14" s="379"/>
      <c r="Q14" s="758"/>
      <c r="R14" s="758"/>
      <c r="S14" s="78"/>
      <c r="T14" s="78"/>
    </row>
    <row r="15" spans="1:20" ht="26.25" customHeight="1" x14ac:dyDescent="0.25">
      <c r="A15" s="1109"/>
      <c r="B15" s="1112"/>
      <c r="C15" s="1018" t="str">
        <f>CONCATENATE(M13," juegos de ",D13," vars.")</f>
        <v>10 juegos de 6 vars.</v>
      </c>
      <c r="D15" s="1018"/>
      <c r="E15" s="1019"/>
      <c r="F15" s="744"/>
      <c r="G15" s="252"/>
      <c r="H15" s="14"/>
      <c r="I15" s="761">
        <f>(I13-I14)/(D13-1)</f>
        <v>6.2799999999999994</v>
      </c>
      <c r="J15" s="750"/>
      <c r="K15" s="754"/>
      <c r="L15" s="745"/>
      <c r="M15" s="757" t="s">
        <v>242</v>
      </c>
      <c r="N15" s="758"/>
      <c r="T15" s="78"/>
    </row>
    <row r="16" spans="1:20" ht="26.25" customHeight="1" x14ac:dyDescent="0.25">
      <c r="A16" s="1109"/>
      <c r="B16" s="1083" t="s">
        <v>274</v>
      </c>
      <c r="C16" s="750" t="s">
        <v>18</v>
      </c>
      <c r="D16" s="750">
        <v>6</v>
      </c>
      <c r="E16" s="756">
        <f>H16+(I16*2)+(2*J16)</f>
        <v>211.6</v>
      </c>
      <c r="F16" s="744"/>
      <c r="G16" s="252"/>
      <c r="H16" s="749">
        <f>79-(4.5*2)-2*(VLOOKUP(C16,$O$5:$S$11,4,FALSE))</f>
        <v>60</v>
      </c>
      <c r="I16" s="750">
        <f>(35.8)+30-(3-(VLOOKUP(C25,$O$5:$S$11,4,FALSE)))</f>
        <v>67.8</v>
      </c>
      <c r="J16" s="750">
        <f>VLOOKUP(C16,$O$5:$S$11,5,FALSE)</f>
        <v>8</v>
      </c>
      <c r="K16" s="754">
        <f>((((E16+E17)/2)/100)*D16*VLOOKUP(C16,$O$5:$Q$11,3,FALSE))*M16</f>
        <v>116.77103999999999</v>
      </c>
      <c r="L16" s="383" t="s">
        <v>143</v>
      </c>
      <c r="M16" s="632">
        <v>10</v>
      </c>
      <c r="N16" s="11"/>
      <c r="T16" s="78"/>
    </row>
    <row r="17" spans="1:20" ht="26.25" customHeight="1" x14ac:dyDescent="0.25">
      <c r="A17" s="1109"/>
      <c r="B17" s="1084"/>
      <c r="C17" s="750"/>
      <c r="D17" s="750"/>
      <c r="E17" s="756">
        <f>H17+(I17*2)+(2*J17)</f>
        <v>179.2</v>
      </c>
      <c r="F17" s="744"/>
      <c r="G17" s="252"/>
      <c r="H17" s="749">
        <f>79-(4.5*2)-2*(VLOOKUP(C16,$O$5:$S$11,4,FALSE))</f>
        <v>60</v>
      </c>
      <c r="I17" s="750">
        <f>(19.6)+30-(3-(VLOOKUP(C26,$O$5:$S$11,4,FALSE)))</f>
        <v>51.6</v>
      </c>
      <c r="J17" s="750">
        <f>VLOOKUP(C16,$O$5:$S$11,5,FALSE)</f>
        <v>8</v>
      </c>
      <c r="K17" s="755"/>
      <c r="L17" s="745"/>
      <c r="M17" s="748"/>
      <c r="N17" s="758"/>
      <c r="T17" s="78"/>
    </row>
    <row r="18" spans="1:20" ht="26.25" customHeight="1" x14ac:dyDescent="0.25">
      <c r="A18" s="1109"/>
      <c r="B18" s="1112"/>
      <c r="C18" s="1018" t="str">
        <f>CONCATENATE(M16," juegos de ",D16," vars.")</f>
        <v>10 juegos de 6 vars.</v>
      </c>
      <c r="D18" s="1018"/>
      <c r="E18" s="1019"/>
      <c r="F18" s="744"/>
      <c r="G18" s="252"/>
      <c r="H18" s="749"/>
      <c r="I18" s="761">
        <f>(I16-I17)/(D16-1)</f>
        <v>3.2399999999999993</v>
      </c>
      <c r="J18" s="750"/>
      <c r="K18" s="755"/>
      <c r="L18" s="745"/>
      <c r="M18" s="757" t="s">
        <v>242</v>
      </c>
      <c r="N18" s="758"/>
      <c r="T18" s="78"/>
    </row>
    <row r="19" spans="1:20" ht="26.25" customHeight="1" x14ac:dyDescent="0.25">
      <c r="A19" s="1109"/>
      <c r="B19" s="1083" t="s">
        <v>99</v>
      </c>
      <c r="C19" s="750" t="s">
        <v>18</v>
      </c>
      <c r="D19" s="750">
        <v>6</v>
      </c>
      <c r="E19" s="751">
        <f>H19+(I19*2)+(J19*2)</f>
        <v>191</v>
      </c>
      <c r="F19" s="744"/>
      <c r="G19" s="252"/>
      <c r="H19" s="749">
        <f>70-(4.5*2)-2*(VLOOKUP($C$19,$O$5:$S$11,4,FALSE))</f>
        <v>51</v>
      </c>
      <c r="I19" s="750">
        <f>(30)+30-(3-(VLOOKUP($C$25,$O$5:$S$11,4,FALSE)))</f>
        <v>62</v>
      </c>
      <c r="J19" s="750">
        <f>VLOOKUP($C$19,$O$5:$S$11,5,FALSE)</f>
        <v>8</v>
      </c>
      <c r="K19" s="754">
        <f>((((E19+E20)/2)/100)*D19*VLOOKUP(C19,$O$5:$Q$11,3,FALSE))*M19</f>
        <v>104.34095999999998</v>
      </c>
      <c r="L19" s="383" t="s">
        <v>143</v>
      </c>
      <c r="M19" s="632">
        <v>10</v>
      </c>
      <c r="N19" s="11"/>
      <c r="T19" s="78"/>
    </row>
    <row r="20" spans="1:20" ht="26.25" customHeight="1" x14ac:dyDescent="0.25">
      <c r="A20" s="1109"/>
      <c r="B20" s="1084"/>
      <c r="C20" s="750"/>
      <c r="D20" s="750"/>
      <c r="E20" s="751">
        <f>H20+(I20*2)+(J20*2)</f>
        <v>158.19999999999999</v>
      </c>
      <c r="F20" s="744"/>
      <c r="G20" s="252"/>
      <c r="H20" s="749">
        <f>70-(4.5*2)-2*(VLOOKUP($C$19,$O$5:$S$11,4,FALSE))</f>
        <v>51</v>
      </c>
      <c r="I20" s="750">
        <f>(13.6)+30-(3-(VLOOKUP($C$25,$O$5:$S$11,4,FALSE)))</f>
        <v>45.6</v>
      </c>
      <c r="J20" s="750">
        <f>VLOOKUP($C$19,$O$5:$S$11,5,FALSE)</f>
        <v>8</v>
      </c>
      <c r="K20" s="755"/>
      <c r="L20" s="745"/>
      <c r="M20" s="748"/>
      <c r="N20" s="758"/>
      <c r="T20" s="78"/>
    </row>
    <row r="21" spans="1:20" ht="26.25" customHeight="1" x14ac:dyDescent="0.25">
      <c r="A21" s="1109"/>
      <c r="B21" s="1112"/>
      <c r="C21" s="1018" t="str">
        <f>CONCATENATE(M19," juegos de ",D19," vars.")</f>
        <v>10 juegos de 6 vars.</v>
      </c>
      <c r="D21" s="1018"/>
      <c r="E21" s="1019"/>
      <c r="F21" s="744"/>
      <c r="G21" s="252"/>
      <c r="H21" s="749"/>
      <c r="I21" s="761">
        <f>(I19-I20)/(D19-1)</f>
        <v>3.28</v>
      </c>
      <c r="J21" s="750"/>
      <c r="K21" s="755"/>
      <c r="L21" s="745"/>
      <c r="M21" s="757" t="s">
        <v>242</v>
      </c>
      <c r="N21" s="758"/>
      <c r="T21" s="78"/>
    </row>
    <row r="22" spans="1:20" ht="26.25" customHeight="1" x14ac:dyDescent="0.25">
      <c r="A22" s="1109"/>
      <c r="B22" s="1083" t="s">
        <v>275</v>
      </c>
      <c r="C22" s="750" t="s">
        <v>18</v>
      </c>
      <c r="D22" s="750">
        <v>6</v>
      </c>
      <c r="E22" s="751">
        <f>H22+(I22*2)+(J22*2)</f>
        <v>202.6</v>
      </c>
      <c r="F22" s="744"/>
      <c r="G22" s="252"/>
      <c r="H22" s="749">
        <f>70-(4.5*2)-2*(VLOOKUP($C$22,$O$5:$S$11,4,FALSE))</f>
        <v>51</v>
      </c>
      <c r="I22" s="750">
        <f>(35.8)+30-(3-(VLOOKUP($C$25,$O$5:$S$11,4,FALSE)))</f>
        <v>67.8</v>
      </c>
      <c r="J22" s="750">
        <f>VLOOKUP($C$22,$O$5:$S$11,5,FALSE)</f>
        <v>8</v>
      </c>
      <c r="K22" s="755">
        <f>(E22/100)*D22*VLOOKUP(C22,$O$5:$S$11,3,FALSE)</f>
        <v>12.107375999999999</v>
      </c>
      <c r="L22" s="383" t="s">
        <v>143</v>
      </c>
      <c r="M22" s="632">
        <v>10</v>
      </c>
      <c r="N22" s="11"/>
      <c r="T22" s="78"/>
    </row>
    <row r="23" spans="1:20" ht="26.25" customHeight="1" x14ac:dyDescent="0.25">
      <c r="A23" s="1109"/>
      <c r="B23" s="1084"/>
      <c r="C23" s="750"/>
      <c r="D23" s="750"/>
      <c r="E23" s="751">
        <f>H23+(I23*2)+(J23*2)</f>
        <v>170.2</v>
      </c>
      <c r="F23" s="744"/>
      <c r="G23" s="252"/>
      <c r="H23" s="749">
        <f>70-(4.5*2)-2*(VLOOKUP($C$22,$O$5:$S$11,4,FALSE))</f>
        <v>51</v>
      </c>
      <c r="I23" s="750">
        <f>(19.6)+30-(3-(VLOOKUP($C$25,$O$5:$S$11,4,FALSE)))</f>
        <v>51.6</v>
      </c>
      <c r="J23" s="750">
        <f>VLOOKUP($C$22,$O$5:$S$11,5,FALSE)</f>
        <v>8</v>
      </c>
      <c r="K23" s="755"/>
      <c r="L23" s="745"/>
      <c r="M23" s="748"/>
      <c r="N23" s="758"/>
      <c r="O23" s="758"/>
      <c r="P23" s="380"/>
      <c r="Q23" s="758"/>
      <c r="R23" s="758"/>
      <c r="S23" s="78"/>
      <c r="T23" s="78"/>
    </row>
    <row r="24" spans="1:20" ht="26.25" customHeight="1" x14ac:dyDescent="0.25">
      <c r="A24" s="1109"/>
      <c r="B24" s="1112"/>
      <c r="C24" s="1018" t="str">
        <f>CONCATENATE(M22," juegos de ",D22," vars.")</f>
        <v>10 juegos de 6 vars.</v>
      </c>
      <c r="D24" s="1018"/>
      <c r="E24" s="1019"/>
      <c r="F24" s="743"/>
      <c r="G24" s="275"/>
      <c r="H24" s="749"/>
      <c r="I24" s="761">
        <f>(I22-I23)/(D22-1)</f>
        <v>3.2399999999999993</v>
      </c>
      <c r="J24" s="750"/>
      <c r="K24" s="755"/>
      <c r="L24" s="745"/>
      <c r="M24" s="748"/>
      <c r="N24" s="758"/>
      <c r="O24" s="758"/>
      <c r="P24" s="380"/>
      <c r="Q24" s="758"/>
      <c r="R24" s="758"/>
      <c r="S24" s="78"/>
      <c r="T24" s="78"/>
    </row>
    <row r="25" spans="1:20" ht="64.5" customHeight="1" x14ac:dyDescent="0.25">
      <c r="A25" s="1109"/>
      <c r="B25" s="904" t="s">
        <v>100</v>
      </c>
      <c r="C25" s="750" t="s">
        <v>18</v>
      </c>
      <c r="D25" s="750">
        <v>35</v>
      </c>
      <c r="E25" s="747">
        <f>(H25*2)+(I25*2)+(J25*5)+20</f>
        <v>292</v>
      </c>
      <c r="F25" s="252"/>
      <c r="G25" s="252"/>
      <c r="H25" s="280">
        <f>78-(2*3)-(2*VLOOKUP(C25,$O$5:$S$11,4,FALSE))</f>
        <v>62</v>
      </c>
      <c r="I25" s="226">
        <f>70-(2*3)-(2*VLOOKUP(C25,$O$5:$S$11,4,FALSE))</f>
        <v>54</v>
      </c>
      <c r="J25" s="750">
        <f t="shared" ref="J25:J32" si="2">VLOOKUP(C25,$O$5:$S$11,5,FALSE)</f>
        <v>8</v>
      </c>
      <c r="K25" s="755">
        <f t="shared" ref="K25:K34" si="3">(E25/100)*D25*VLOOKUP(C25,$O$5:$S$11,3,FALSE)</f>
        <v>101.7912</v>
      </c>
      <c r="L25" s="383" t="s">
        <v>43</v>
      </c>
      <c r="M25" s="20"/>
      <c r="N25" s="11"/>
      <c r="O25" s="78"/>
      <c r="P25" s="78"/>
      <c r="Q25" s="78"/>
      <c r="R25" s="11"/>
      <c r="S25" s="78"/>
      <c r="T25" s="78"/>
    </row>
    <row r="26" spans="1:20" ht="64.5" customHeight="1" thickBot="1" x14ac:dyDescent="0.3">
      <c r="A26" s="1110"/>
      <c r="B26" s="907" t="s">
        <v>276</v>
      </c>
      <c r="C26" s="875" t="s">
        <v>18</v>
      </c>
      <c r="D26" s="875">
        <v>38</v>
      </c>
      <c r="E26" s="876">
        <f>(H26*2)+(I26*2)+(J26*5)+20</f>
        <v>294</v>
      </c>
      <c r="F26" s="252"/>
      <c r="G26" s="252"/>
      <c r="H26" s="602">
        <f>79-(2*3)-(2*VLOOKUP(C26,$O$5:$S$11,4,FALSE))</f>
        <v>63</v>
      </c>
      <c r="I26" s="604">
        <f>70-(2*3)-(2*VLOOKUP(C26,$O$5:$S$11,4,FALSE))</f>
        <v>54</v>
      </c>
      <c r="J26" s="875">
        <f t="shared" si="2"/>
        <v>8</v>
      </c>
      <c r="K26" s="877">
        <f t="shared" si="3"/>
        <v>111.27311999999999</v>
      </c>
      <c r="L26" s="383" t="s">
        <v>43</v>
      </c>
      <c r="M26" s="381"/>
      <c r="N26" s="11"/>
      <c r="O26" s="78"/>
      <c r="P26" s="78"/>
      <c r="Q26" s="78"/>
      <c r="R26" s="11"/>
      <c r="S26" s="78"/>
      <c r="T26" s="78"/>
    </row>
    <row r="27" spans="1:20" ht="64.5" customHeight="1" x14ac:dyDescent="0.25">
      <c r="A27" s="1072" t="s">
        <v>27</v>
      </c>
      <c r="B27" s="903" t="s">
        <v>374</v>
      </c>
      <c r="C27" s="248" t="s">
        <v>18</v>
      </c>
      <c r="D27" s="248">
        <v>16</v>
      </c>
      <c r="E27" s="415">
        <f>(H27*2)+(I27*2)+(J27*5)+20</f>
        <v>258</v>
      </c>
      <c r="F27" s="872"/>
      <c r="G27" s="873"/>
      <c r="H27" s="278">
        <f>31-(2*3)-(2*VLOOKUP(C27,$O$5:$S$11,4,FALSE))</f>
        <v>15</v>
      </c>
      <c r="I27" s="249">
        <f>100-(2*3)-(2*VLOOKUP(C27,$O$5:$S$11,4,FALSE))</f>
        <v>84</v>
      </c>
      <c r="J27" s="248">
        <f t="shared" si="2"/>
        <v>8</v>
      </c>
      <c r="K27" s="104">
        <f t="shared" si="3"/>
        <v>41.114879999999999</v>
      </c>
      <c r="L27" s="966" t="s">
        <v>43</v>
      </c>
      <c r="M27" s="20"/>
      <c r="N27" s="20"/>
      <c r="R27" s="20"/>
    </row>
    <row r="28" spans="1:20" ht="64.5" customHeight="1" thickBot="1" x14ac:dyDescent="0.3">
      <c r="A28" s="1044"/>
      <c r="B28" s="906" t="s">
        <v>375</v>
      </c>
      <c r="C28" s="881" t="s">
        <v>18</v>
      </c>
      <c r="D28" s="881">
        <v>48</v>
      </c>
      <c r="E28" s="908">
        <f>(H28*2)+(I28*2)+(J28*5)+20</f>
        <v>280</v>
      </c>
      <c r="F28" s="909"/>
      <c r="G28" s="910"/>
      <c r="H28" s="282">
        <f>42-(2*3)-(2*VLOOKUP(C28,$O$5:$S$11,4,FALSE))</f>
        <v>26</v>
      </c>
      <c r="I28" s="283">
        <f>100-(2*3)-(2*VLOOKUP(C28,$O$5:$S$11,4,FALSE))</f>
        <v>84</v>
      </c>
      <c r="J28" s="881">
        <f t="shared" si="2"/>
        <v>8</v>
      </c>
      <c r="K28" s="108">
        <f t="shared" si="3"/>
        <v>133.86239999999998</v>
      </c>
      <c r="L28" s="966"/>
      <c r="M28" s="381"/>
      <c r="N28" s="381"/>
      <c r="R28" s="381"/>
    </row>
    <row r="29" spans="1:20" ht="32.25" customHeight="1" x14ac:dyDescent="0.25">
      <c r="A29" s="1044"/>
      <c r="B29" s="911" t="s">
        <v>110</v>
      </c>
      <c r="C29" s="388" t="s">
        <v>18</v>
      </c>
      <c r="D29" s="388">
        <v>10</v>
      </c>
      <c r="E29" s="391">
        <f>H29+(I29*2)+(J29*2)</f>
        <v>223</v>
      </c>
      <c r="F29" s="386"/>
      <c r="G29" s="386"/>
      <c r="H29" s="393">
        <f>31-(2*4)-(2*VLOOKUP(C29,$O$5:$S$11,4,FALSE))</f>
        <v>13</v>
      </c>
      <c r="I29" s="395">
        <f>65-3-(VLOOKUP(C29,$O$5:$S$11,4,FALSE))+40</f>
        <v>97</v>
      </c>
      <c r="J29" s="388">
        <f t="shared" si="2"/>
        <v>8</v>
      </c>
      <c r="K29" s="390">
        <f t="shared" si="3"/>
        <v>22.210799999999999</v>
      </c>
      <c r="L29" s="383" t="s">
        <v>43</v>
      </c>
      <c r="M29" s="20"/>
      <c r="N29" s="20"/>
      <c r="O29" s="20"/>
      <c r="P29" s="20"/>
      <c r="Q29" s="20"/>
      <c r="R29" s="20"/>
    </row>
    <row r="30" spans="1:20" ht="32.25" customHeight="1" x14ac:dyDescent="0.25">
      <c r="A30" s="1044"/>
      <c r="B30" s="904" t="s">
        <v>277</v>
      </c>
      <c r="C30" s="399" t="s">
        <v>18</v>
      </c>
      <c r="D30" s="399">
        <v>30</v>
      </c>
      <c r="E30" s="24">
        <f>H30+(I30*2)+(J30*2)</f>
        <v>254</v>
      </c>
      <c r="F30" s="396"/>
      <c r="G30" s="386"/>
      <c r="H30" s="280">
        <f>42-(2*4)-(2*VLOOKUP(C30,$O$5:$S$11,4,FALSE))</f>
        <v>24</v>
      </c>
      <c r="I30" s="226">
        <f>75-3-(VLOOKUP(C30,$O$5:$S$11,4,FALSE))+40</f>
        <v>107</v>
      </c>
      <c r="J30" s="399">
        <f t="shared" si="2"/>
        <v>8</v>
      </c>
      <c r="K30" s="106">
        <f t="shared" si="3"/>
        <v>75.895200000000003</v>
      </c>
      <c r="L30" s="383" t="s">
        <v>43</v>
      </c>
      <c r="M30" s="20"/>
      <c r="N30" s="20"/>
      <c r="O30" s="20"/>
      <c r="P30" s="20"/>
      <c r="Q30" s="20"/>
      <c r="R30" s="20"/>
    </row>
    <row r="31" spans="1:20" ht="32.25" customHeight="1" x14ac:dyDescent="0.25">
      <c r="A31" s="1044"/>
      <c r="B31" s="904" t="s">
        <v>46</v>
      </c>
      <c r="C31" s="399" t="s">
        <v>18</v>
      </c>
      <c r="D31" s="399">
        <v>6</v>
      </c>
      <c r="E31" s="24">
        <f>H31+(I31*2)+(J31*2)</f>
        <v>272</v>
      </c>
      <c r="F31" s="396"/>
      <c r="G31" s="397"/>
      <c r="H31" s="280">
        <f>80-(2*4)-(2*VLOOKUP(C31,$O$5:$S$11,4,FALSE))</f>
        <v>62</v>
      </c>
      <c r="I31" s="226">
        <f>65-3-(VLOOKUP(C31,$O$5:$S$11,4,FALSE))+40</f>
        <v>97</v>
      </c>
      <c r="J31" s="399">
        <f t="shared" si="2"/>
        <v>8</v>
      </c>
      <c r="K31" s="106">
        <f t="shared" si="3"/>
        <v>16.254719999999999</v>
      </c>
      <c r="L31" s="383" t="s">
        <v>43</v>
      </c>
      <c r="M31" s="20"/>
      <c r="N31" s="20"/>
      <c r="O31" s="20"/>
      <c r="P31" s="20"/>
      <c r="Q31" s="20"/>
      <c r="R31" s="20"/>
    </row>
    <row r="32" spans="1:20" ht="32.25" customHeight="1" thickBot="1" x14ac:dyDescent="0.3">
      <c r="A32" s="1045"/>
      <c r="B32" s="907" t="s">
        <v>273</v>
      </c>
      <c r="C32" s="384" t="s">
        <v>18</v>
      </c>
      <c r="D32" s="384">
        <v>18</v>
      </c>
      <c r="E32" s="385">
        <f>H32+(I32*2)+(J32*2)</f>
        <v>292</v>
      </c>
      <c r="F32" s="193"/>
      <c r="G32" s="206"/>
      <c r="H32" s="392">
        <f>80-(2*4)-(2*VLOOKUP(C32,$O$5:$S$11,4,FALSE))</f>
        <v>62</v>
      </c>
      <c r="I32" s="394">
        <f>75-3-(VLOOKUP(C32,$O$5:$S$11,4,FALSE))+40</f>
        <v>107</v>
      </c>
      <c r="J32" s="384">
        <f t="shared" si="2"/>
        <v>8</v>
      </c>
      <c r="K32" s="389">
        <f t="shared" si="3"/>
        <v>52.349760000000003</v>
      </c>
      <c r="L32" s="383" t="s">
        <v>43</v>
      </c>
      <c r="M32" s="20"/>
      <c r="N32" s="20"/>
      <c r="O32" s="20"/>
      <c r="P32" s="20"/>
      <c r="Q32" s="20"/>
      <c r="R32" s="20"/>
    </row>
    <row r="33" spans="1:18" ht="151.5" customHeight="1" x14ac:dyDescent="0.25">
      <c r="A33" s="952" t="s">
        <v>287</v>
      </c>
      <c r="B33" s="903" t="s">
        <v>47</v>
      </c>
      <c r="C33" s="248" t="s">
        <v>18</v>
      </c>
      <c r="D33" s="248">
        <f>179*6</f>
        <v>1074</v>
      </c>
      <c r="E33" s="272">
        <f>((PI())*H33)+I33*2</f>
        <v>479.82297150257102</v>
      </c>
      <c r="F33" s="981"/>
      <c r="G33" s="981"/>
      <c r="H33" s="267">
        <f>150-(2*5)</f>
        <v>140</v>
      </c>
      <c r="I33" s="248">
        <v>20</v>
      </c>
      <c r="J33" s="248"/>
      <c r="K33" s="104">
        <f t="shared" si="3"/>
        <v>5132.6855190818624</v>
      </c>
      <c r="L33" s="387" t="s">
        <v>43</v>
      </c>
      <c r="M33" s="20"/>
      <c r="N33" s="20"/>
      <c r="R33" s="20"/>
    </row>
    <row r="34" spans="1:18" ht="65.25" customHeight="1" x14ac:dyDescent="0.25">
      <c r="A34" s="953"/>
      <c r="B34" s="1107" t="s">
        <v>272</v>
      </c>
      <c r="C34" s="1018" t="s">
        <v>18</v>
      </c>
      <c r="D34" s="1018">
        <f>D33*2</f>
        <v>2148</v>
      </c>
      <c r="E34" s="1019">
        <f>H34+(I34*2)+(J34*2)</f>
        <v>160</v>
      </c>
      <c r="F34" s="1007"/>
      <c r="G34" s="1008"/>
      <c r="H34" s="1092">
        <f>150-(2*5)-(2*VLOOKUP(C19,$O$5:$S$11,4,FALSE))</f>
        <v>130</v>
      </c>
      <c r="I34" s="1086">
        <v>7</v>
      </c>
      <c r="J34" s="1086">
        <v>8</v>
      </c>
      <c r="K34" s="1113">
        <f t="shared" si="3"/>
        <v>3423.0528000000004</v>
      </c>
      <c r="L34" s="1099" t="s">
        <v>43</v>
      </c>
      <c r="M34" s="20"/>
      <c r="N34" s="20"/>
      <c r="R34" s="20"/>
    </row>
    <row r="35" spans="1:18" ht="65.25" customHeight="1" x14ac:dyDescent="0.25">
      <c r="A35" s="953"/>
      <c r="B35" s="1107"/>
      <c r="C35" s="1018"/>
      <c r="D35" s="1018"/>
      <c r="E35" s="1019"/>
      <c r="F35" s="1011"/>
      <c r="G35" s="1012"/>
      <c r="H35" s="1100"/>
      <c r="I35" s="1101"/>
      <c r="J35" s="1101"/>
      <c r="K35" s="1113"/>
      <c r="L35" s="1099"/>
      <c r="M35" s="11"/>
      <c r="N35" s="11"/>
      <c r="R35" s="20"/>
    </row>
    <row r="36" spans="1:18" ht="31.5" customHeight="1" x14ac:dyDescent="0.25">
      <c r="A36" s="953"/>
      <c r="B36" s="1083" t="s">
        <v>264</v>
      </c>
      <c r="C36" s="1086" t="s">
        <v>16</v>
      </c>
      <c r="D36" s="1086">
        <f>(20*2)*6</f>
        <v>240</v>
      </c>
      <c r="E36" s="1089">
        <f>H36+(I36*2)+(2*J36)</f>
        <v>2890</v>
      </c>
      <c r="F36" s="386"/>
      <c r="G36" s="417"/>
      <c r="H36" s="1092">
        <f>2700-10-(2*VLOOKUP($C$36,$O$5:$S$11,4,FALSE))+50</f>
        <v>2722</v>
      </c>
      <c r="I36" s="1086">
        <v>70</v>
      </c>
      <c r="J36" s="1086">
        <f>VLOOKUP(C36,$O$5:$S$11,5,FALSE)</f>
        <v>14</v>
      </c>
      <c r="K36" s="1095">
        <f>(((E36/100)*D36*VLOOKUP(C36,$O$5:$Q$11,3,FALSE)))</f>
        <v>27674.640000000003</v>
      </c>
      <c r="L36" s="1098" t="s">
        <v>43</v>
      </c>
      <c r="M36" s="11"/>
      <c r="N36" s="11"/>
      <c r="R36" s="20"/>
    </row>
    <row r="37" spans="1:18" ht="31.5" customHeight="1" x14ac:dyDescent="0.25">
      <c r="A37" s="953"/>
      <c r="B37" s="1084"/>
      <c r="C37" s="1087"/>
      <c r="D37" s="1087"/>
      <c r="E37" s="1090"/>
      <c r="F37" s="386"/>
      <c r="G37" s="417"/>
      <c r="H37" s="1093"/>
      <c r="I37" s="1087"/>
      <c r="J37" s="1087"/>
      <c r="K37" s="1096"/>
      <c r="L37" s="1098"/>
      <c r="M37" s="759"/>
      <c r="N37" s="1082"/>
      <c r="O37" s="1082"/>
      <c r="R37" s="381"/>
    </row>
    <row r="38" spans="1:18" ht="31.5" customHeight="1" x14ac:dyDescent="0.25">
      <c r="A38" s="953"/>
      <c r="B38" s="1084"/>
      <c r="C38" s="1087"/>
      <c r="D38" s="1087"/>
      <c r="E38" s="1090"/>
      <c r="F38" s="386"/>
      <c r="G38" s="417"/>
      <c r="H38" s="1093"/>
      <c r="I38" s="1087"/>
      <c r="J38" s="1087"/>
      <c r="K38" s="1096"/>
      <c r="L38" s="1098"/>
      <c r="M38" s="381"/>
      <c r="N38" s="381"/>
      <c r="O38" s="71"/>
      <c r="R38" s="381"/>
    </row>
    <row r="39" spans="1:18" ht="31.5" customHeight="1" thickBot="1" x14ac:dyDescent="0.3">
      <c r="A39" s="954"/>
      <c r="B39" s="1085"/>
      <c r="C39" s="1088"/>
      <c r="D39" s="1088"/>
      <c r="E39" s="1091"/>
      <c r="F39" s="386"/>
      <c r="G39" s="417"/>
      <c r="H39" s="1094"/>
      <c r="I39" s="1088"/>
      <c r="J39" s="1088"/>
      <c r="K39" s="1097"/>
      <c r="L39" s="1098"/>
      <c r="M39" s="381"/>
      <c r="N39" s="381"/>
      <c r="R39" s="381"/>
    </row>
    <row r="40" spans="1:18" ht="15.75" thickBot="1" x14ac:dyDescent="0.3">
      <c r="A40" s="52"/>
      <c r="B40" s="331"/>
      <c r="C40" s="332"/>
      <c r="D40" s="332"/>
      <c r="E40" s="332"/>
      <c r="F40" s="333" t="s">
        <v>104</v>
      </c>
      <c r="G40" s="334"/>
      <c r="H40" s="335" t="s">
        <v>51</v>
      </c>
      <c r="I40" s="336"/>
      <c r="J40" s="337" t="s">
        <v>52</v>
      </c>
      <c r="K40" s="338"/>
    </row>
    <row r="41" spans="1:18" x14ac:dyDescent="0.25">
      <c r="A41" s="50"/>
      <c r="B41" s="962"/>
      <c r="C41" s="963"/>
      <c r="D41" s="963"/>
      <c r="E41" s="963"/>
      <c r="F41" s="187" t="s">
        <v>80</v>
      </c>
      <c r="G41" s="188"/>
      <c r="H41" s="189"/>
      <c r="I41" s="190"/>
      <c r="J41" s="118"/>
      <c r="K41" s="119"/>
    </row>
    <row r="42" spans="1:18" ht="15.75" thickBot="1" x14ac:dyDescent="0.3">
      <c r="A42" s="50"/>
      <c r="B42" s="928"/>
      <c r="C42" s="929"/>
      <c r="D42" s="929"/>
      <c r="E42" s="929"/>
      <c r="F42" s="201" t="s">
        <v>455</v>
      </c>
      <c r="G42" s="202"/>
      <c r="H42" s="199" t="s">
        <v>30</v>
      </c>
      <c r="I42" s="200"/>
      <c r="J42" s="652">
        <f>SUM(K33:K39)</f>
        <v>36230.378319081865</v>
      </c>
      <c r="K42" s="653"/>
      <c r="L42" s="92" t="s">
        <v>43</v>
      </c>
    </row>
    <row r="43" spans="1:18" x14ac:dyDescent="0.25">
      <c r="A43" s="50"/>
      <c r="B43" s="928"/>
      <c r="C43" s="929"/>
      <c r="D43" s="929"/>
      <c r="E43" s="929"/>
      <c r="F43" s="201" t="s">
        <v>103</v>
      </c>
      <c r="G43" s="202"/>
      <c r="H43" s="199" t="s">
        <v>30</v>
      </c>
      <c r="I43" s="200"/>
      <c r="J43" s="652">
        <f>SUM(K4:K12)</f>
        <v>6538.0714799999996</v>
      </c>
      <c r="K43" s="653"/>
      <c r="L43" s="92" t="s">
        <v>43</v>
      </c>
      <c r="M43" s="5" t="s">
        <v>186</v>
      </c>
      <c r="N43" s="6"/>
      <c r="O43" s="7"/>
    </row>
    <row r="44" spans="1:18" x14ac:dyDescent="0.25">
      <c r="A44" s="50"/>
      <c r="B44" s="928"/>
      <c r="C44" s="929"/>
      <c r="D44" s="929"/>
      <c r="E44" s="929"/>
      <c r="F44" s="201" t="s">
        <v>454</v>
      </c>
      <c r="G44" s="202"/>
      <c r="H44" s="199" t="s">
        <v>30</v>
      </c>
      <c r="I44" s="200"/>
      <c r="J44" s="207">
        <f>SUM(K13:K32)</f>
        <v>888.12921599999981</v>
      </c>
      <c r="K44" s="208"/>
      <c r="L44" s="92" t="s">
        <v>43</v>
      </c>
      <c r="M44" s="54"/>
      <c r="N44" s="2"/>
      <c r="O44" s="50"/>
    </row>
    <row r="45" spans="1:18" x14ac:dyDescent="0.25">
      <c r="A45" s="50"/>
      <c r="B45" s="964"/>
      <c r="C45" s="965"/>
      <c r="D45" s="965"/>
      <c r="E45" s="965"/>
      <c r="F45" s="203" t="s">
        <v>114</v>
      </c>
      <c r="G45" s="204"/>
      <c r="H45" s="199"/>
      <c r="I45" s="200"/>
      <c r="J45" s="207"/>
      <c r="K45" s="208"/>
      <c r="M45" s="4" t="s">
        <v>184</v>
      </c>
      <c r="N45" s="1"/>
      <c r="O45" s="135">
        <f>J43+J44</f>
        <v>7426.2006959999999</v>
      </c>
    </row>
    <row r="46" spans="1:18" x14ac:dyDescent="0.25">
      <c r="A46" s="51"/>
      <c r="B46" s="928"/>
      <c r="C46" s="929"/>
      <c r="D46" s="929"/>
      <c r="E46" s="929"/>
      <c r="F46" s="201" t="s">
        <v>458</v>
      </c>
      <c r="G46" s="202"/>
      <c r="H46" s="199" t="s">
        <v>29</v>
      </c>
      <c r="I46" s="200"/>
      <c r="J46" s="207">
        <f>G62</f>
        <v>286.27763055836988</v>
      </c>
      <c r="K46" s="208"/>
      <c r="M46" s="4" t="s">
        <v>182</v>
      </c>
      <c r="N46" s="1"/>
      <c r="O46" s="135">
        <f>J42</f>
        <v>36230.378319081865</v>
      </c>
    </row>
    <row r="47" spans="1:18" x14ac:dyDescent="0.25">
      <c r="A47" s="51"/>
      <c r="B47" s="928"/>
      <c r="C47" s="929"/>
      <c r="D47" s="929"/>
      <c r="E47" s="929"/>
      <c r="F47" s="201" t="s">
        <v>103</v>
      </c>
      <c r="G47" s="202"/>
      <c r="H47" s="199" t="s">
        <v>29</v>
      </c>
      <c r="I47" s="200"/>
      <c r="J47" s="207">
        <f>G67</f>
        <v>39.033599999999993</v>
      </c>
      <c r="K47" s="208"/>
      <c r="M47" s="54"/>
      <c r="N47" s="2"/>
      <c r="O47" s="50"/>
    </row>
    <row r="48" spans="1:18" x14ac:dyDescent="0.25">
      <c r="A48" s="51"/>
      <c r="B48" s="928"/>
      <c r="C48" s="929"/>
      <c r="D48" s="929"/>
      <c r="E48" s="929"/>
      <c r="F48" s="201" t="s">
        <v>450</v>
      </c>
      <c r="G48" s="202"/>
      <c r="H48" s="199" t="s">
        <v>29</v>
      </c>
      <c r="I48" s="200"/>
      <c r="J48" s="207">
        <f>F81</f>
        <v>7.6272480000000007</v>
      </c>
      <c r="K48" s="208"/>
      <c r="M48" s="4" t="s">
        <v>185</v>
      </c>
      <c r="N48" s="1"/>
      <c r="O48" s="135">
        <f>J47+J48</f>
        <v>46.660847999999994</v>
      </c>
    </row>
    <row r="49" spans="1:15" ht="15.75" thickBot="1" x14ac:dyDescent="0.3">
      <c r="A49" s="51"/>
      <c r="B49" s="956"/>
      <c r="C49" s="957"/>
      <c r="D49" s="957"/>
      <c r="E49" s="957"/>
      <c r="F49" s="666" t="s">
        <v>105</v>
      </c>
      <c r="G49" s="196"/>
      <c r="H49" s="197" t="s">
        <v>29</v>
      </c>
      <c r="I49" s="198"/>
      <c r="J49" s="191">
        <f>G63</f>
        <v>224.14478185199778</v>
      </c>
      <c r="K49" s="192"/>
      <c r="M49" s="136" t="s">
        <v>183</v>
      </c>
      <c r="N49" s="138"/>
      <c r="O49" s="137">
        <f>J46</f>
        <v>286.27763055836988</v>
      </c>
    </row>
    <row r="52" spans="1:15" ht="15.75" thickBot="1" x14ac:dyDescent="0.3">
      <c r="F52" s="2"/>
      <c r="G52" s="2"/>
    </row>
    <row r="53" spans="1:15" ht="15.75" thickBot="1" x14ac:dyDescent="0.3">
      <c r="F53" s="958" t="s">
        <v>126</v>
      </c>
      <c r="G53" s="958"/>
      <c r="H53" s="959" t="s">
        <v>29</v>
      </c>
      <c r="I53" s="960"/>
      <c r="J53" s="933">
        <f>(J42+J43+J44)/J54</f>
        <v>5.5613476452333588</v>
      </c>
      <c r="K53" s="934"/>
    </row>
    <row r="54" spans="1:15" ht="15.75" thickBot="1" x14ac:dyDescent="0.3">
      <c r="F54" s="961" t="s">
        <v>127</v>
      </c>
      <c r="G54" s="961"/>
      <c r="H54" s="931" t="s">
        <v>128</v>
      </c>
      <c r="I54" s="932"/>
      <c r="J54" s="933">
        <v>7850</v>
      </c>
      <c r="K54" s="934"/>
    </row>
    <row r="55" spans="1:15" ht="15.75" thickBot="1" x14ac:dyDescent="0.3">
      <c r="F55" s="961" t="s">
        <v>134</v>
      </c>
      <c r="G55" s="958"/>
      <c r="H55" s="959" t="s">
        <v>29</v>
      </c>
      <c r="I55" s="960"/>
      <c r="J55" s="654">
        <f>J46+J47+J48-J53</f>
        <v>327.37713091313651</v>
      </c>
      <c r="K55" s="655"/>
    </row>
    <row r="56" spans="1:15" x14ac:dyDescent="0.25">
      <c r="K56" s="100"/>
    </row>
    <row r="61" spans="1:15" x14ac:dyDescent="0.25">
      <c r="B61" s="1"/>
      <c r="C61" s="1" t="s">
        <v>169</v>
      </c>
      <c r="D61" s="1" t="s">
        <v>40</v>
      </c>
      <c r="E61" s="1" t="s">
        <v>39</v>
      </c>
      <c r="F61" s="1" t="s">
        <v>168</v>
      </c>
      <c r="G61" s="205" t="str">
        <f>CONCATENATE(H61," pilas")</f>
        <v>6 pilas</v>
      </c>
      <c r="H61">
        <v>6</v>
      </c>
      <c r="I61" t="s">
        <v>246</v>
      </c>
      <c r="J61" t="s">
        <v>307</v>
      </c>
      <c r="K61" t="s">
        <v>310</v>
      </c>
    </row>
    <row r="62" spans="1:15" x14ac:dyDescent="0.25">
      <c r="B62" s="1" t="s">
        <v>147</v>
      </c>
      <c r="C62" s="1">
        <v>0.75</v>
      </c>
      <c r="D62" s="77">
        <f>PI()*(C62^2)</f>
        <v>1.7671458676442586</v>
      </c>
      <c r="E62" s="72">
        <v>27</v>
      </c>
      <c r="F62" s="73">
        <f>D62*E62</f>
        <v>47.712938426394985</v>
      </c>
      <c r="G62" s="1">
        <f>F62*H61</f>
        <v>286.27763055836988</v>
      </c>
      <c r="H62" s="92" t="s">
        <v>43</v>
      </c>
    </row>
    <row r="63" spans="1:15" x14ac:dyDescent="0.25">
      <c r="B63" s="1" t="s">
        <v>148</v>
      </c>
      <c r="C63" s="1">
        <v>0.75</v>
      </c>
      <c r="D63" s="77">
        <f>PI()*(C63^2)</f>
        <v>1.7671458676442586</v>
      </c>
      <c r="E63" s="1">
        <f>(21.18+21.1)/2</f>
        <v>21.14</v>
      </c>
      <c r="F63" s="73">
        <f>D63*E63</f>
        <v>37.35746364199963</v>
      </c>
      <c r="G63" s="1">
        <f>F63*H61</f>
        <v>224.14478185199778</v>
      </c>
      <c r="H63" s="92" t="s">
        <v>43</v>
      </c>
      <c r="J63">
        <f>H61*E63</f>
        <v>126.84</v>
      </c>
      <c r="K63">
        <f>(E62-E63)*H61</f>
        <v>35.159999999999997</v>
      </c>
    </row>
    <row r="64" spans="1:15" x14ac:dyDescent="0.25">
      <c r="B64" s="1"/>
      <c r="C64" s="1"/>
      <c r="D64" s="1"/>
      <c r="E64" s="1"/>
      <c r="F64" s="1"/>
      <c r="G64" s="1"/>
    </row>
    <row r="66" spans="1:10" ht="22.5" customHeight="1" thickBot="1" x14ac:dyDescent="0.3">
      <c r="C66" s="82"/>
      <c r="D66" s="82" t="s">
        <v>40</v>
      </c>
      <c r="E66" s="82" t="s">
        <v>42</v>
      </c>
      <c r="F66" s="82" t="s">
        <v>41</v>
      </c>
    </row>
    <row r="67" spans="1:10" ht="22.5" customHeight="1" thickBot="1" x14ac:dyDescent="0.3">
      <c r="C67" s="421" t="s">
        <v>322</v>
      </c>
      <c r="D67" s="294">
        <f>1.6*1.2</f>
        <v>1.92</v>
      </c>
      <c r="E67" s="422">
        <v>10.09</v>
      </c>
      <c r="F67" s="423">
        <f>D67*E67</f>
        <v>19.372799999999998</v>
      </c>
      <c r="G67" s="1106">
        <f>F67+F68</f>
        <v>39.033599999999993</v>
      </c>
      <c r="H67" s="92" t="s">
        <v>143</v>
      </c>
    </row>
    <row r="68" spans="1:10" ht="22.5" customHeight="1" thickBot="1" x14ac:dyDescent="0.3">
      <c r="C68" s="421" t="s">
        <v>323</v>
      </c>
      <c r="D68" s="294">
        <f>1.6*1.2</f>
        <v>1.92</v>
      </c>
      <c r="E68" s="422">
        <v>10.24</v>
      </c>
      <c r="F68" s="423">
        <f t="shared" ref="F68:F76" si="4">D68*E68</f>
        <v>19.660799999999998</v>
      </c>
      <c r="G68" s="1106"/>
      <c r="H68" s="92" t="s">
        <v>143</v>
      </c>
    </row>
    <row r="69" spans="1:10" ht="22.5" customHeight="1" x14ac:dyDescent="0.25">
      <c r="A69" s="1102" t="s">
        <v>334</v>
      </c>
      <c r="B69" s="1026" t="s">
        <v>288</v>
      </c>
      <c r="C69" s="1026"/>
      <c r="D69" s="369">
        <v>0.42</v>
      </c>
      <c r="E69" s="369">
        <v>0.65</v>
      </c>
      <c r="F69" s="349">
        <f t="shared" si="4"/>
        <v>0.27300000000000002</v>
      </c>
      <c r="G69" s="92" t="s">
        <v>143</v>
      </c>
    </row>
    <row r="70" spans="1:10" ht="22.5" customHeight="1" x14ac:dyDescent="0.25">
      <c r="A70" s="1103"/>
      <c r="B70" s="1028" t="s">
        <v>146</v>
      </c>
      <c r="C70" s="1028"/>
      <c r="D70" s="310">
        <v>0.42</v>
      </c>
      <c r="E70" s="310">
        <v>0.65</v>
      </c>
      <c r="F70" s="350">
        <f t="shared" si="4"/>
        <v>0.27300000000000002</v>
      </c>
      <c r="G70" s="92" t="s">
        <v>143</v>
      </c>
    </row>
    <row r="71" spans="1:10" ht="22.5" customHeight="1" x14ac:dyDescent="0.25">
      <c r="A71" s="1103"/>
      <c r="B71" s="1030" t="s">
        <v>288</v>
      </c>
      <c r="C71" s="1030"/>
      <c r="D71" s="370">
        <v>0.42</v>
      </c>
      <c r="E71" s="370">
        <v>0.65</v>
      </c>
      <c r="F71" s="350">
        <f t="shared" si="4"/>
        <v>0.27300000000000002</v>
      </c>
      <c r="G71" s="92" t="s">
        <v>143</v>
      </c>
    </row>
    <row r="72" spans="1:10" ht="22.5" customHeight="1" thickBot="1" x14ac:dyDescent="0.3">
      <c r="A72" s="1104"/>
      <c r="B72" s="1032" t="s">
        <v>146</v>
      </c>
      <c r="C72" s="1032"/>
      <c r="D72" s="353">
        <v>0.42</v>
      </c>
      <c r="E72" s="353">
        <v>0.65</v>
      </c>
      <c r="F72" s="351">
        <f t="shared" si="4"/>
        <v>0.27300000000000002</v>
      </c>
      <c r="G72" s="92" t="s">
        <v>143</v>
      </c>
    </row>
    <row r="73" spans="1:10" ht="22.5" customHeight="1" x14ac:dyDescent="0.25">
      <c r="A73" s="1022" t="s">
        <v>335</v>
      </c>
      <c r="B73" s="1025" t="s">
        <v>289</v>
      </c>
      <c r="C73" s="1026"/>
      <c r="D73" s="369">
        <v>0.42</v>
      </c>
      <c r="E73" s="369">
        <v>0.65</v>
      </c>
      <c r="F73" s="349">
        <f t="shared" si="4"/>
        <v>0.27300000000000002</v>
      </c>
      <c r="G73" s="92" t="s">
        <v>143</v>
      </c>
    </row>
    <row r="74" spans="1:10" ht="22.5" customHeight="1" x14ac:dyDescent="0.25">
      <c r="A74" s="1023"/>
      <c r="B74" s="1027" t="s">
        <v>333</v>
      </c>
      <c r="C74" s="1028"/>
      <c r="D74" s="310">
        <v>0.42</v>
      </c>
      <c r="E74" s="310">
        <v>0.7</v>
      </c>
      <c r="F74" s="350">
        <f t="shared" si="4"/>
        <v>0.29399999999999998</v>
      </c>
      <c r="G74" s="92" t="s">
        <v>143</v>
      </c>
    </row>
    <row r="75" spans="1:10" ht="22.5" customHeight="1" x14ac:dyDescent="0.25">
      <c r="A75" s="1023"/>
      <c r="B75" s="1029" t="s">
        <v>289</v>
      </c>
      <c r="C75" s="1030"/>
      <c r="D75" s="370">
        <v>0.32</v>
      </c>
      <c r="E75" s="370">
        <v>0.7</v>
      </c>
      <c r="F75" s="350">
        <f t="shared" si="4"/>
        <v>0.22399999999999998</v>
      </c>
      <c r="G75" s="92" t="s">
        <v>143</v>
      </c>
    </row>
    <row r="76" spans="1:10" ht="22.5" customHeight="1" thickBot="1" x14ac:dyDescent="0.3">
      <c r="A76" s="1024"/>
      <c r="B76" s="1031" t="s">
        <v>333</v>
      </c>
      <c r="C76" s="1032"/>
      <c r="D76" s="353">
        <v>0.32</v>
      </c>
      <c r="E76" s="353">
        <v>0.7</v>
      </c>
      <c r="F76" s="351">
        <f t="shared" si="4"/>
        <v>0.22399999999999998</v>
      </c>
      <c r="G76" s="92" t="s">
        <v>143</v>
      </c>
    </row>
    <row r="77" spans="1:10" ht="22.5" customHeight="1" x14ac:dyDescent="0.25">
      <c r="B77" s="1055" t="s">
        <v>340</v>
      </c>
      <c r="C77" s="1055"/>
      <c r="D77" s="371">
        <v>0.54620000000000002</v>
      </c>
      <c r="E77" s="371">
        <v>0.7</v>
      </c>
      <c r="F77" s="356">
        <f>D77*E77*J77</f>
        <v>3.8234000000000004</v>
      </c>
      <c r="G77" s="92" t="s">
        <v>143</v>
      </c>
      <c r="H77" t="s">
        <v>279</v>
      </c>
      <c r="J77">
        <v>10</v>
      </c>
    </row>
    <row r="78" spans="1:10" ht="22.5" customHeight="1" x14ac:dyDescent="0.25">
      <c r="B78" s="1056" t="s">
        <v>336</v>
      </c>
      <c r="C78" s="1056"/>
      <c r="D78" s="358">
        <v>0.55200000000000005</v>
      </c>
      <c r="E78" s="358">
        <f>((19.6+23.4+27.2+30.9+34.5+35.8+35.2+34.5+33.6+32.7)/10)/100</f>
        <v>0.30740000000000001</v>
      </c>
      <c r="F78" s="356">
        <f>D78*E78*J77</f>
        <v>1.6968480000000001</v>
      </c>
      <c r="G78" s="92" t="s">
        <v>143</v>
      </c>
    </row>
    <row r="79" spans="1:10" ht="22.5" customHeight="1" x14ac:dyDescent="0.25">
      <c r="B79" s="1051" t="s">
        <v>144</v>
      </c>
      <c r="C79" s="1051"/>
      <c r="D79" s="1"/>
      <c r="E79" s="1"/>
      <c r="F79" s="73">
        <f>(D79*E79)*2</f>
        <v>0</v>
      </c>
    </row>
    <row r="80" spans="1:10" ht="22.5" customHeight="1" x14ac:dyDescent="0.25">
      <c r="B80" s="1051" t="s">
        <v>145</v>
      </c>
      <c r="C80" s="1051"/>
      <c r="D80" s="1"/>
      <c r="E80" s="1"/>
      <c r="F80" s="73">
        <f>(D80*E80)*2</f>
        <v>0</v>
      </c>
    </row>
    <row r="81" spans="2:21" ht="22.5" customHeight="1" x14ac:dyDescent="0.25">
      <c r="B81" s="996" t="s">
        <v>285</v>
      </c>
      <c r="C81" s="996"/>
      <c r="D81" s="996"/>
      <c r="E81" s="996"/>
      <c r="F81" s="76">
        <f>SUM(F69:F80)</f>
        <v>7.6272480000000007</v>
      </c>
    </row>
    <row r="83" spans="2:21" x14ac:dyDescent="0.25">
      <c r="G83" t="s">
        <v>150</v>
      </c>
    </row>
    <row r="84" spans="2:21" x14ac:dyDescent="0.25">
      <c r="B84" s="996" t="s">
        <v>175</v>
      </c>
      <c r="C84" s="996"/>
      <c r="D84" s="1" t="s">
        <v>40</v>
      </c>
      <c r="E84" s="1" t="s">
        <v>39</v>
      </c>
      <c r="F84" s="1" t="s">
        <v>85</v>
      </c>
      <c r="G84" s="1" t="s">
        <v>149</v>
      </c>
      <c r="H84" s="1" t="str">
        <f>CONCATENATE(I84," pzas")</f>
        <v>10 pzas</v>
      </c>
      <c r="I84">
        <v>10</v>
      </c>
      <c r="J84" t="s">
        <v>247</v>
      </c>
      <c r="M84" s="996" t="s">
        <v>175</v>
      </c>
      <c r="N84" s="996"/>
      <c r="O84" s="1" t="s">
        <v>40</v>
      </c>
      <c r="P84" s="1" t="s">
        <v>39</v>
      </c>
      <c r="Q84" s="1" t="s">
        <v>85</v>
      </c>
      <c r="R84" s="1" t="s">
        <v>149</v>
      </c>
      <c r="S84" s="1" t="str">
        <f>CONCATENATE(T84," pzas")</f>
        <v>10 pzas</v>
      </c>
      <c r="T84">
        <v>10</v>
      </c>
      <c r="U84" t="s">
        <v>247</v>
      </c>
    </row>
    <row r="85" spans="2:21" x14ac:dyDescent="0.25">
      <c r="B85" s="996" t="s">
        <v>314</v>
      </c>
      <c r="C85" s="996"/>
      <c r="D85" s="1">
        <f>0.4*0.5</f>
        <v>0.2</v>
      </c>
      <c r="E85" s="1">
        <v>5.7000000000000002E-2</v>
      </c>
      <c r="F85" s="74">
        <f>D85*E85</f>
        <v>1.14E-2</v>
      </c>
      <c r="G85" s="75">
        <f>F85*1000</f>
        <v>11.4</v>
      </c>
      <c r="H85" s="1">
        <f>G85*I84</f>
        <v>114</v>
      </c>
      <c r="I85" t="s">
        <v>143</v>
      </c>
      <c r="M85" s="996" t="s">
        <v>314</v>
      </c>
      <c r="N85" s="996"/>
      <c r="O85" s="1">
        <f>0.4*0.5</f>
        <v>0.2</v>
      </c>
      <c r="P85" s="1">
        <v>7.2999999999999995E-2</v>
      </c>
      <c r="Q85" s="424">
        <f>O85*P85</f>
        <v>1.46E-2</v>
      </c>
      <c r="R85" s="75">
        <f>Q85*1000</f>
        <v>14.6</v>
      </c>
      <c r="S85" s="1">
        <f>R85*T84</f>
        <v>146</v>
      </c>
      <c r="T85" t="s">
        <v>143</v>
      </c>
    </row>
    <row r="86" spans="2:21" x14ac:dyDescent="0.25">
      <c r="B86" s="996" t="s">
        <v>86</v>
      </c>
      <c r="C86" s="996"/>
      <c r="D86" s="1">
        <f>0.4*0.5</f>
        <v>0.2</v>
      </c>
      <c r="E86" s="76">
        <v>1.2E-2</v>
      </c>
      <c r="F86" s="77">
        <f>D86*E86</f>
        <v>2.4000000000000002E-3</v>
      </c>
      <c r="G86" s="75">
        <f>(F86*7850)*4</f>
        <v>75.360000000000014</v>
      </c>
      <c r="H86" s="1">
        <f>G86*I84</f>
        <v>753.60000000000014</v>
      </c>
      <c r="I86" t="s">
        <v>143</v>
      </c>
      <c r="M86" s="996" t="s">
        <v>86</v>
      </c>
      <c r="N86" s="996"/>
      <c r="O86" s="1">
        <f>0.4*0.5</f>
        <v>0.2</v>
      </c>
      <c r="P86" s="76">
        <v>1.2E-2</v>
      </c>
      <c r="Q86" s="424">
        <f>O86*P86</f>
        <v>2.4000000000000002E-3</v>
      </c>
      <c r="R86" s="75">
        <f>(Q86*7850)*5</f>
        <v>94.200000000000017</v>
      </c>
      <c r="S86" s="1">
        <f>R86*T84</f>
        <v>942.00000000000023</v>
      </c>
      <c r="T86" t="s">
        <v>143</v>
      </c>
    </row>
    <row r="87" spans="2:21" x14ac:dyDescent="0.25">
      <c r="Q87" s="425"/>
    </row>
    <row r="88" spans="2:21" x14ac:dyDescent="0.25">
      <c r="Q88" s="425"/>
    </row>
    <row r="89" spans="2:21" x14ac:dyDescent="0.25">
      <c r="B89" s="996" t="s">
        <v>178</v>
      </c>
      <c r="C89" s="996"/>
      <c r="D89" s="1" t="s">
        <v>40</v>
      </c>
      <c r="E89" s="1" t="s">
        <v>39</v>
      </c>
      <c r="F89" s="1" t="s">
        <v>173</v>
      </c>
      <c r="G89" s="1" t="s">
        <v>149</v>
      </c>
      <c r="H89" s="1" t="s">
        <v>177</v>
      </c>
      <c r="M89" s="996" t="s">
        <v>178</v>
      </c>
      <c r="N89" s="996"/>
      <c r="O89" s="1" t="s">
        <v>40</v>
      </c>
      <c r="P89" s="1" t="s">
        <v>39</v>
      </c>
      <c r="Q89" s="424" t="s">
        <v>173</v>
      </c>
      <c r="R89" s="1" t="s">
        <v>149</v>
      </c>
      <c r="S89" s="1" t="s">
        <v>177</v>
      </c>
    </row>
    <row r="90" spans="2:21" x14ac:dyDescent="0.25">
      <c r="B90" s="996" t="s">
        <v>176</v>
      </c>
      <c r="C90" s="996"/>
      <c r="D90" s="1">
        <f>0.3*0.35</f>
        <v>0.105</v>
      </c>
      <c r="E90" s="1">
        <v>2.5000000000000001E-2</v>
      </c>
      <c r="F90" s="74">
        <f>D90*E90</f>
        <v>2.6250000000000002E-3</v>
      </c>
      <c r="G90" s="75">
        <f>F90*1000</f>
        <v>2.625</v>
      </c>
      <c r="H90" s="1">
        <f>G90*2</f>
        <v>5.25</v>
      </c>
      <c r="M90" s="996" t="s">
        <v>176</v>
      </c>
      <c r="N90" s="996"/>
      <c r="O90" s="1">
        <f>0.3*0.35</f>
        <v>0.105</v>
      </c>
      <c r="P90" s="1">
        <v>2.5000000000000001E-2</v>
      </c>
      <c r="Q90" s="424">
        <f>O90*P90</f>
        <v>2.6250000000000002E-3</v>
      </c>
      <c r="R90" s="75">
        <f>Q90*1000</f>
        <v>2.625</v>
      </c>
      <c r="S90" s="1">
        <f>R90*2</f>
        <v>5.25</v>
      </c>
    </row>
    <row r="91" spans="2:21" x14ac:dyDescent="0.25">
      <c r="B91" s="996" t="s">
        <v>174</v>
      </c>
      <c r="C91" s="996"/>
      <c r="D91" s="1">
        <f>0.3*0.35</f>
        <v>0.105</v>
      </c>
      <c r="E91" s="76">
        <v>1.2999999999999999E-2</v>
      </c>
      <c r="F91" s="77">
        <f>D91*E91</f>
        <v>1.3649999999999999E-3</v>
      </c>
      <c r="G91" s="75">
        <f>(F91*7850)*2</f>
        <v>21.430499999999999</v>
      </c>
      <c r="H91" s="1">
        <f>G91*2</f>
        <v>42.860999999999997</v>
      </c>
      <c r="M91" s="996" t="s">
        <v>174</v>
      </c>
      <c r="N91" s="996"/>
      <c r="O91" s="1">
        <f>0.3*0.35</f>
        <v>0.105</v>
      </c>
      <c r="P91" s="76">
        <v>1.2999999999999999E-2</v>
      </c>
      <c r="Q91" s="424">
        <f>O91*P91</f>
        <v>1.3649999999999999E-3</v>
      </c>
      <c r="R91" s="75">
        <f>(Q91*7850)*2</f>
        <v>21.430499999999999</v>
      </c>
      <c r="S91" s="1">
        <f>R91*2</f>
        <v>42.860999999999997</v>
      </c>
    </row>
    <row r="93" spans="2:21" x14ac:dyDescent="0.25">
      <c r="F93" s="1105" t="s">
        <v>179</v>
      </c>
      <c r="G93" s="1105"/>
      <c r="H93" s="1">
        <f>H90+H85</f>
        <v>119.25</v>
      </c>
      <c r="P93" s="1105" t="s">
        <v>179</v>
      </c>
      <c r="Q93" s="1105"/>
      <c r="R93" s="1105"/>
      <c r="S93" s="1">
        <f>S90+S85</f>
        <v>151.25</v>
      </c>
    </row>
  </sheetData>
  <mergeCells count="85">
    <mergeCell ref="F33:G33"/>
    <mergeCell ref="A27:A32"/>
    <mergeCell ref="A1:K1"/>
    <mergeCell ref="F3:G3"/>
    <mergeCell ref="A4:A12"/>
    <mergeCell ref="F4:G7"/>
    <mergeCell ref="A13:A26"/>
    <mergeCell ref="B13:B15"/>
    <mergeCell ref="B16:B18"/>
    <mergeCell ref="B19:B21"/>
    <mergeCell ref="B22:B24"/>
    <mergeCell ref="C24:E24"/>
    <mergeCell ref="C21:E21"/>
    <mergeCell ref="C18:E18"/>
    <mergeCell ref="C15:E15"/>
    <mergeCell ref="C11:E11"/>
    <mergeCell ref="B49:E49"/>
    <mergeCell ref="A33:A39"/>
    <mergeCell ref="B34:B35"/>
    <mergeCell ref="B48:E48"/>
    <mergeCell ref="B44:E44"/>
    <mergeCell ref="B45:E45"/>
    <mergeCell ref="B46:E46"/>
    <mergeCell ref="B41:E41"/>
    <mergeCell ref="B42:E42"/>
    <mergeCell ref="B43:E43"/>
    <mergeCell ref="B47:E47"/>
    <mergeCell ref="C34:C35"/>
    <mergeCell ref="D34:D35"/>
    <mergeCell ref="J34:J35"/>
    <mergeCell ref="K34:K35"/>
    <mergeCell ref="B77:C77"/>
    <mergeCell ref="B84:C84"/>
    <mergeCell ref="B85:C85"/>
    <mergeCell ref="B86:C86"/>
    <mergeCell ref="B89:C89"/>
    <mergeCell ref="B79:C79"/>
    <mergeCell ref="B80:C80"/>
    <mergeCell ref="B81:E81"/>
    <mergeCell ref="B78:C78"/>
    <mergeCell ref="B91:C91"/>
    <mergeCell ref="M84:N84"/>
    <mergeCell ref="M85:N85"/>
    <mergeCell ref="M86:N86"/>
    <mergeCell ref="M89:N89"/>
    <mergeCell ref="M90:N90"/>
    <mergeCell ref="M91:N91"/>
    <mergeCell ref="B90:C90"/>
    <mergeCell ref="F93:G93"/>
    <mergeCell ref="P93:R93"/>
    <mergeCell ref="G67:G68"/>
    <mergeCell ref="F53:G53"/>
    <mergeCell ref="H53:I53"/>
    <mergeCell ref="F54:G54"/>
    <mergeCell ref="H54:I54"/>
    <mergeCell ref="J54:K54"/>
    <mergeCell ref="F55:G55"/>
    <mergeCell ref="H55:I55"/>
    <mergeCell ref="J53:K53"/>
    <mergeCell ref="A69:A72"/>
    <mergeCell ref="A73:A76"/>
    <mergeCell ref="B69:C69"/>
    <mergeCell ref="B70:C70"/>
    <mergeCell ref="B71:C71"/>
    <mergeCell ref="B72:C72"/>
    <mergeCell ref="B73:C73"/>
    <mergeCell ref="B74:C74"/>
    <mergeCell ref="B75:C75"/>
    <mergeCell ref="B76:C76"/>
    <mergeCell ref="L27:L28"/>
    <mergeCell ref="F34:G35"/>
    <mergeCell ref="N37:O37"/>
    <mergeCell ref="B36:B39"/>
    <mergeCell ref="C36:C39"/>
    <mergeCell ref="D36:D39"/>
    <mergeCell ref="E36:E39"/>
    <mergeCell ref="H36:H39"/>
    <mergeCell ref="I36:I39"/>
    <mergeCell ref="J36:J39"/>
    <mergeCell ref="K36:K39"/>
    <mergeCell ref="L36:L39"/>
    <mergeCell ref="L34:L35"/>
    <mergeCell ref="E34:E35"/>
    <mergeCell ref="H34:H35"/>
    <mergeCell ref="I34:I35"/>
  </mergeCells>
  <pageMargins left="0.7" right="0.7" top="0.75" bottom="0.75" header="0.3" footer="0.3"/>
  <pageSetup orientation="portrait" r:id="rId1"/>
  <ignoredErrors>
    <ignoredError sqref="I31" formula="1"/>
  </ignoredErrors>
  <drawing r:id="rId2"/>
  <legacyDrawing r:id="rId3"/>
  <oleObjects>
    <mc:AlternateContent xmlns:mc="http://schemas.openxmlformats.org/markup-compatibility/2006">
      <mc:Choice Requires="x14">
        <oleObject progId="AutoCAD.Drawing.19" shapeId="99329" r:id="rId4">
          <objectPr defaultSize="0" autoPict="0" r:id="rId5">
            <anchor moveWithCells="1">
              <from>
                <xdr:col>5</xdr:col>
                <xdr:colOff>228600</xdr:colOff>
                <xdr:row>35</xdr:row>
                <xdr:rowOff>161925</xdr:rowOff>
              </from>
              <to>
                <xdr:col>6</xdr:col>
                <xdr:colOff>266700</xdr:colOff>
                <xdr:row>38</xdr:row>
                <xdr:rowOff>266700</xdr:rowOff>
              </to>
            </anchor>
          </objectPr>
        </oleObject>
      </mc:Choice>
      <mc:Fallback>
        <oleObject progId="AutoCAD.Drawing.19" shapeId="99329" r:id="rId4"/>
      </mc:Fallback>
    </mc:AlternateContent>
    <mc:AlternateContent xmlns:mc="http://schemas.openxmlformats.org/markup-compatibility/2006">
      <mc:Choice Requires="x14">
        <oleObject progId="AutoCAD.Drawing.19" shapeId="99330" r:id="rId6">
          <objectPr defaultSize="0" autoPict="0" r:id="rId7">
            <anchor moveWithCells="1">
              <from>
                <xdr:col>5</xdr:col>
                <xdr:colOff>638175</xdr:colOff>
                <xdr:row>32</xdr:row>
                <xdr:rowOff>19050</xdr:rowOff>
              </from>
              <to>
                <xdr:col>5</xdr:col>
                <xdr:colOff>2886075</xdr:colOff>
                <xdr:row>32</xdr:row>
                <xdr:rowOff>1885950</xdr:rowOff>
              </to>
            </anchor>
          </objectPr>
        </oleObject>
      </mc:Choice>
      <mc:Fallback>
        <oleObject progId="AutoCAD.Drawing.19" shapeId="99330" r:id="rId6"/>
      </mc:Fallback>
    </mc:AlternateContent>
    <mc:AlternateContent xmlns:mc="http://schemas.openxmlformats.org/markup-compatibility/2006">
      <mc:Choice Requires="x14">
        <oleObject progId="AutoCAD.Drawing.19" shapeId="99331" r:id="rId8">
          <objectPr defaultSize="0" autoPict="0" r:id="rId5">
            <anchor moveWithCells="1">
              <from>
                <xdr:col>5</xdr:col>
                <xdr:colOff>285750</xdr:colOff>
                <xdr:row>3</xdr:row>
                <xdr:rowOff>247650</xdr:rowOff>
              </from>
              <to>
                <xdr:col>6</xdr:col>
                <xdr:colOff>314325</xdr:colOff>
                <xdr:row>6</xdr:row>
                <xdr:rowOff>323850</xdr:rowOff>
              </to>
            </anchor>
          </objectPr>
        </oleObject>
      </mc:Choice>
      <mc:Fallback>
        <oleObject progId="AutoCAD.Drawing.19" shapeId="99331" r:id="rId8"/>
      </mc:Fallback>
    </mc:AlternateContent>
    <mc:AlternateContent xmlns:mc="http://schemas.openxmlformats.org/markup-compatibility/2006">
      <mc:Choice Requires="x14">
        <oleObject progId="AutoCAD.Drawing.19" shapeId="99332" r:id="rId9">
          <objectPr defaultSize="0" autoPict="0" r:id="rId10">
            <anchor moveWithCells="1">
              <from>
                <xdr:col>5</xdr:col>
                <xdr:colOff>742950</xdr:colOff>
                <xdr:row>6</xdr:row>
                <xdr:rowOff>304800</xdr:rowOff>
              </from>
              <to>
                <xdr:col>5</xdr:col>
                <xdr:colOff>2838450</xdr:colOff>
                <xdr:row>11</xdr:row>
                <xdr:rowOff>85725</xdr:rowOff>
              </to>
            </anchor>
          </objectPr>
        </oleObject>
      </mc:Choice>
      <mc:Fallback>
        <oleObject progId="AutoCAD.Drawing.19" shapeId="99332" r:id="rId9"/>
      </mc:Fallback>
    </mc:AlternateContent>
    <mc:AlternateContent xmlns:mc="http://schemas.openxmlformats.org/markup-compatibility/2006">
      <mc:Choice Requires="x14">
        <oleObject progId="AutoCAD.Drawing.19" shapeId="99333" r:id="rId11">
          <objectPr defaultSize="0" autoPict="0" r:id="rId5">
            <anchor moveWithCells="1">
              <from>
                <xdr:col>5</xdr:col>
                <xdr:colOff>276225</xdr:colOff>
                <xdr:row>16</xdr:row>
                <xdr:rowOff>76200</xdr:rowOff>
              </from>
              <to>
                <xdr:col>6</xdr:col>
                <xdr:colOff>304800</xdr:colOff>
                <xdr:row>20</xdr:row>
                <xdr:rowOff>66675</xdr:rowOff>
              </to>
            </anchor>
          </objectPr>
        </oleObject>
      </mc:Choice>
      <mc:Fallback>
        <oleObject progId="AutoCAD.Drawing.19" shapeId="99333" r:id="rId11"/>
      </mc:Fallback>
    </mc:AlternateContent>
    <mc:AlternateContent xmlns:mc="http://schemas.openxmlformats.org/markup-compatibility/2006">
      <mc:Choice Requires="x14">
        <oleObject progId="AutoCAD.Drawing.19" shapeId="99334" r:id="rId12">
          <objectPr defaultSize="0" autoPict="0" r:id="rId10">
            <anchor moveWithCells="1">
              <from>
                <xdr:col>5</xdr:col>
                <xdr:colOff>704850</xdr:colOff>
                <xdr:row>24</xdr:row>
                <xdr:rowOff>76200</xdr:rowOff>
              </from>
              <to>
                <xdr:col>5</xdr:col>
                <xdr:colOff>2790825</xdr:colOff>
                <xdr:row>25</xdr:row>
                <xdr:rowOff>590550</xdr:rowOff>
              </to>
            </anchor>
          </objectPr>
        </oleObject>
      </mc:Choice>
      <mc:Fallback>
        <oleObject progId="AutoCAD.Drawing.19" shapeId="99334" r:id="rId12"/>
      </mc:Fallback>
    </mc:AlternateContent>
    <mc:AlternateContent xmlns:mc="http://schemas.openxmlformats.org/markup-compatibility/2006">
      <mc:Choice Requires="x14">
        <oleObject progId="AutoCAD.Drawing.19" shapeId="99335" r:id="rId13">
          <objectPr defaultSize="0" autoPict="0" r:id="rId5">
            <anchor moveWithCells="1">
              <from>
                <xdr:col>5</xdr:col>
                <xdr:colOff>285750</xdr:colOff>
                <xdr:row>28</xdr:row>
                <xdr:rowOff>76200</xdr:rowOff>
              </from>
              <to>
                <xdr:col>6</xdr:col>
                <xdr:colOff>314325</xdr:colOff>
                <xdr:row>31</xdr:row>
                <xdr:rowOff>304800</xdr:rowOff>
              </to>
            </anchor>
          </objectPr>
        </oleObject>
      </mc:Choice>
      <mc:Fallback>
        <oleObject progId="AutoCAD.Drawing.19" shapeId="99335" r:id="rId13"/>
      </mc:Fallback>
    </mc:AlternateContent>
    <mc:AlternateContent xmlns:mc="http://schemas.openxmlformats.org/markup-compatibility/2006">
      <mc:Choice Requires="x14">
        <oleObject progId="AutoCAD.Drawing.19" shapeId="99336" r:id="rId14">
          <objectPr defaultSize="0" autoPict="0" r:id="rId10">
            <anchor moveWithCells="1">
              <from>
                <xdr:col>5</xdr:col>
                <xdr:colOff>857250</xdr:colOff>
                <xdr:row>26</xdr:row>
                <xdr:rowOff>152400</xdr:rowOff>
              </from>
              <to>
                <xdr:col>5</xdr:col>
                <xdr:colOff>2628900</xdr:colOff>
                <xdr:row>27</xdr:row>
                <xdr:rowOff>581025</xdr:rowOff>
              </to>
            </anchor>
          </objectPr>
        </oleObject>
      </mc:Choice>
      <mc:Fallback>
        <oleObject progId="AutoCAD.Drawing.19" shapeId="99336" r:id="rId1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W98"/>
  <sheetViews>
    <sheetView showGridLines="0" topLeftCell="A44" zoomScale="85" zoomScaleNormal="85" workbookViewId="0">
      <selection activeCell="J61" sqref="J61:K61"/>
    </sheetView>
  </sheetViews>
  <sheetFormatPr baseColWidth="10" defaultRowHeight="15" x14ac:dyDescent="0.25"/>
  <cols>
    <col min="1" max="1" width="4.85546875" customWidth="1"/>
    <col min="2" max="2" width="9.7109375" customWidth="1"/>
    <col min="3" max="3" width="10.28515625" customWidth="1"/>
    <col min="4" max="4" width="9.42578125" customWidth="1"/>
    <col min="5" max="5" width="12.28515625" customWidth="1"/>
    <col min="6" max="6" width="44.140625" customWidth="1"/>
    <col min="7" max="7" width="6.85546875" customWidth="1"/>
    <col min="8" max="8" width="7.85546875" customWidth="1"/>
    <col min="9" max="9" width="5.85546875" customWidth="1"/>
    <col min="10" max="10" width="8.85546875" customWidth="1"/>
    <col min="11" max="11" width="10.140625" customWidth="1"/>
    <col min="12" max="12" width="5.85546875" style="92" customWidth="1"/>
    <col min="13" max="13" width="11" customWidth="1"/>
    <col min="14" max="14" width="5.28515625" customWidth="1"/>
    <col min="15" max="15" width="16.28515625" customWidth="1"/>
    <col min="16" max="16" width="17.85546875" customWidth="1"/>
    <col min="17" max="17" width="8.85546875" customWidth="1"/>
  </cols>
  <sheetData>
    <row r="1" spans="1:23" ht="19.5" thickBot="1" x14ac:dyDescent="0.35">
      <c r="A1" s="1067" t="s">
        <v>391</v>
      </c>
      <c r="B1" s="1068"/>
      <c r="C1" s="1068"/>
      <c r="D1" s="1068"/>
      <c r="E1" s="1068"/>
      <c r="F1" s="1068"/>
      <c r="G1" s="1068"/>
      <c r="H1" s="1068"/>
      <c r="I1" s="1068"/>
      <c r="J1" s="1068"/>
      <c r="K1" s="1069"/>
    </row>
    <row r="2" spans="1:23" ht="15.75" thickBot="1" x14ac:dyDescent="0.3">
      <c r="A2" s="5"/>
      <c r="B2" s="6"/>
      <c r="C2" s="6"/>
      <c r="D2" s="6"/>
      <c r="E2" s="6"/>
      <c r="F2" s="6"/>
      <c r="G2" s="6"/>
      <c r="H2" s="6"/>
      <c r="I2" s="6"/>
      <c r="J2" s="6"/>
      <c r="K2" s="7"/>
    </row>
    <row r="3" spans="1:23" ht="15.75" thickBot="1" x14ac:dyDescent="0.3">
      <c r="A3" s="246" t="s">
        <v>0</v>
      </c>
      <c r="B3" s="330" t="s">
        <v>1</v>
      </c>
      <c r="C3" s="330" t="s">
        <v>2</v>
      </c>
      <c r="D3" s="330" t="s">
        <v>3</v>
      </c>
      <c r="E3" s="330" t="s">
        <v>4</v>
      </c>
      <c r="F3" s="1070" t="s">
        <v>5</v>
      </c>
      <c r="G3" s="1071"/>
      <c r="H3" s="330" t="s">
        <v>7</v>
      </c>
      <c r="I3" s="330" t="s">
        <v>8</v>
      </c>
      <c r="J3" s="330" t="s">
        <v>28</v>
      </c>
      <c r="K3" s="247" t="s">
        <v>9</v>
      </c>
      <c r="L3" s="327"/>
      <c r="O3" s="78"/>
      <c r="P3" s="78"/>
      <c r="Q3" s="78"/>
      <c r="R3" s="78"/>
      <c r="S3" s="78"/>
      <c r="T3" s="78"/>
      <c r="U3" s="78"/>
      <c r="V3" s="78"/>
      <c r="W3" s="78"/>
    </row>
    <row r="4" spans="1:23" ht="32.25" customHeight="1" thickBot="1" x14ac:dyDescent="0.3">
      <c r="A4" s="1126" t="s">
        <v>10</v>
      </c>
      <c r="B4" s="912" t="s">
        <v>6</v>
      </c>
      <c r="C4" s="249" t="s">
        <v>16</v>
      </c>
      <c r="D4" s="249">
        <v>44</v>
      </c>
      <c r="E4" s="279">
        <f>H4+(I4*2)+(J4*2)</f>
        <v>1210.44</v>
      </c>
      <c r="F4" s="1013"/>
      <c r="G4" s="979"/>
      <c r="H4" s="278">
        <f>1110.44-(2*5)-(2*VLOOKUP(C4,$O$5:$S$11,4,FALSE))</f>
        <v>1082.44</v>
      </c>
      <c r="I4" s="249">
        <v>50</v>
      </c>
      <c r="J4" s="249">
        <f>VLOOKUP(C4,$O$5:$S$11,5,FALSE)</f>
        <v>14</v>
      </c>
      <c r="K4" s="437">
        <f t="shared" ref="K4:K17" si="0">(E4/100)*D4*VLOOKUP(C4,$O$5:$Q$11,3,FALSE)</f>
        <v>2125.0484640000004</v>
      </c>
      <c r="L4" s="402" t="s">
        <v>43</v>
      </c>
      <c r="M4" s="20"/>
      <c r="N4" s="20"/>
      <c r="O4" s="238" t="s">
        <v>19</v>
      </c>
      <c r="P4" s="239" t="s">
        <v>20</v>
      </c>
      <c r="Q4" s="239" t="s">
        <v>25</v>
      </c>
      <c r="R4" s="240" t="s">
        <v>311</v>
      </c>
      <c r="S4" s="241" t="s">
        <v>312</v>
      </c>
      <c r="T4" s="78"/>
      <c r="U4" s="78"/>
      <c r="V4" s="78"/>
      <c r="W4" s="78"/>
    </row>
    <row r="5" spans="1:23" ht="32.25" customHeight="1" thickBot="1" x14ac:dyDescent="0.3">
      <c r="A5" s="1127"/>
      <c r="B5" s="905" t="s">
        <v>255</v>
      </c>
      <c r="C5" s="226" t="s">
        <v>16</v>
      </c>
      <c r="D5" s="226">
        <v>44</v>
      </c>
      <c r="E5" s="281">
        <f>H5+(I5*2)+(J5*2)</f>
        <v>1214.06</v>
      </c>
      <c r="F5" s="1009"/>
      <c r="G5" s="981"/>
      <c r="H5" s="280">
        <f>1114.06-(2*5)-(2*VLOOKUP(C5,$O$5:$S$11,4,FALSE))</f>
        <v>1086.06</v>
      </c>
      <c r="I5" s="226">
        <v>50</v>
      </c>
      <c r="J5" s="226">
        <f>VLOOKUP(C5,$O$5:$S$11,5,FALSE)</f>
        <v>14</v>
      </c>
      <c r="K5" s="416">
        <f t="shared" si="0"/>
        <v>2131.4037359999998</v>
      </c>
      <c r="L5" s="402" t="s">
        <v>43</v>
      </c>
      <c r="M5" s="20"/>
      <c r="N5" s="20"/>
      <c r="O5" s="235" t="s">
        <v>243</v>
      </c>
      <c r="P5" s="236" t="s">
        <v>21</v>
      </c>
      <c r="Q5" s="262">
        <v>0.55700000000000005</v>
      </c>
      <c r="R5" s="237">
        <f>ROUNDUP((3/8*2.54*3.5),0)</f>
        <v>4</v>
      </c>
      <c r="S5" s="260">
        <f t="shared" ref="S5:S11" si="1">ROUND(+PI()*R5*2/4,0)</f>
        <v>6</v>
      </c>
      <c r="T5" s="78"/>
      <c r="U5" s="78"/>
      <c r="V5" s="78"/>
      <c r="W5" s="78"/>
    </row>
    <row r="6" spans="1:23" ht="32.25" customHeight="1" thickBot="1" x14ac:dyDescent="0.3">
      <c r="A6" s="1127"/>
      <c r="B6" s="905" t="s">
        <v>11</v>
      </c>
      <c r="C6" s="226" t="s">
        <v>17</v>
      </c>
      <c r="D6" s="226">
        <v>8</v>
      </c>
      <c r="E6" s="281">
        <f>H6+(I6*2)+(J6*2)</f>
        <v>1100.44</v>
      </c>
      <c r="F6" s="429"/>
      <c r="G6" s="252"/>
      <c r="H6" s="280">
        <f>1110.44-(2*5)</f>
        <v>1100.44</v>
      </c>
      <c r="I6" s="226"/>
      <c r="J6" s="291"/>
      <c r="K6" s="416">
        <f t="shared" si="0"/>
        <v>196.75867199999999</v>
      </c>
      <c r="L6" s="402" t="s">
        <v>43</v>
      </c>
      <c r="M6" s="20"/>
      <c r="N6" s="20"/>
      <c r="O6" s="412" t="s">
        <v>18</v>
      </c>
      <c r="P6" s="220" t="s">
        <v>22</v>
      </c>
      <c r="Q6" s="263">
        <v>0.996</v>
      </c>
      <c r="R6" s="405">
        <f>ROUNDUP((4/8*2.54*3.5),0)</f>
        <v>5</v>
      </c>
      <c r="S6" s="259">
        <f t="shared" si="1"/>
        <v>8</v>
      </c>
      <c r="T6" s="78"/>
      <c r="U6" s="78"/>
      <c r="V6" s="78"/>
      <c r="W6" s="78"/>
    </row>
    <row r="7" spans="1:23" ht="32.25" customHeight="1" thickBot="1" x14ac:dyDescent="0.3">
      <c r="A7" s="1127"/>
      <c r="B7" s="905" t="s">
        <v>263</v>
      </c>
      <c r="C7" s="226" t="s">
        <v>17</v>
      </c>
      <c r="D7" s="226">
        <v>8</v>
      </c>
      <c r="E7" s="281">
        <f>H7+(I7*2)+(J7*2)</f>
        <v>1104.06</v>
      </c>
      <c r="F7" s="430"/>
      <c r="G7" s="275"/>
      <c r="H7" s="280">
        <f>1114.06-(2*5)</f>
        <v>1104.06</v>
      </c>
      <c r="I7" s="226"/>
      <c r="J7" s="291"/>
      <c r="K7" s="416">
        <f t="shared" si="0"/>
        <v>197.40592799999999</v>
      </c>
      <c r="L7" s="402" t="s">
        <v>43</v>
      </c>
      <c r="M7" s="20"/>
      <c r="N7" s="20"/>
      <c r="O7" s="413" t="s">
        <v>244</v>
      </c>
      <c r="P7" s="231" t="s">
        <v>23</v>
      </c>
      <c r="Q7" s="262">
        <v>1.55</v>
      </c>
      <c r="R7" s="232">
        <f>ROUNDUP((5/8*2.54*3.5),0)</f>
        <v>6</v>
      </c>
      <c r="S7" s="261">
        <f t="shared" si="1"/>
        <v>9</v>
      </c>
      <c r="T7" s="78"/>
      <c r="U7" s="78"/>
      <c r="V7" s="78"/>
      <c r="W7" s="78"/>
    </row>
    <row r="8" spans="1:23" ht="32.25" customHeight="1" thickBot="1" x14ac:dyDescent="0.3">
      <c r="A8" s="1127"/>
      <c r="B8" s="905" t="s">
        <v>12</v>
      </c>
      <c r="C8" s="226" t="s">
        <v>18</v>
      </c>
      <c r="D8" s="226">
        <f>53+53</f>
        <v>106</v>
      </c>
      <c r="E8" s="281">
        <f>(H8*2)+(I8*2)+(J8*5)+20</f>
        <v>520</v>
      </c>
      <c r="F8" s="117"/>
      <c r="G8" s="252"/>
      <c r="H8" s="280">
        <f>150-(2*5)-(2*VLOOKUP(C8,$O$5:$S$11,4,FALSE))</f>
        <v>130</v>
      </c>
      <c r="I8" s="226">
        <f>120-(2*5)-(2*VLOOKUP(C8,$O$5:$S$11,4,FALSE))</f>
        <v>100</v>
      </c>
      <c r="J8" s="226">
        <f>VLOOKUP(C8,$O$5:$S$11,5,FALSE)</f>
        <v>8</v>
      </c>
      <c r="K8" s="416">
        <f t="shared" si="0"/>
        <v>548.99520000000007</v>
      </c>
      <c r="L8" s="402" t="s">
        <v>43</v>
      </c>
      <c r="M8" s="381"/>
      <c r="N8" s="381"/>
      <c r="O8" s="412" t="s">
        <v>17</v>
      </c>
      <c r="P8" s="220" t="s">
        <v>24</v>
      </c>
      <c r="Q8" s="263">
        <v>2.2349999999999999</v>
      </c>
      <c r="R8" s="405">
        <f>ROUNDUP((6/8*2.54*3.5),0)</f>
        <v>7</v>
      </c>
      <c r="S8" s="259">
        <f t="shared" si="1"/>
        <v>11</v>
      </c>
      <c r="T8" s="78"/>
      <c r="U8" s="78"/>
      <c r="V8" s="78"/>
      <c r="W8" s="78"/>
    </row>
    <row r="9" spans="1:23" ht="32.25" customHeight="1" thickBot="1" x14ac:dyDescent="0.3">
      <c r="A9" s="1127"/>
      <c r="B9" s="905" t="s">
        <v>261</v>
      </c>
      <c r="C9" s="226" t="s">
        <v>18</v>
      </c>
      <c r="D9" s="226">
        <v>8</v>
      </c>
      <c r="E9" s="281">
        <f>(H9*2)+(I9*2)+(J9*5)+20</f>
        <v>536</v>
      </c>
      <c r="F9" s="117"/>
      <c r="G9" s="252"/>
      <c r="H9" s="280">
        <f>148-(2*VLOOKUP(C9,O5:S11,4,FALSE))</f>
        <v>138</v>
      </c>
      <c r="I9" s="226">
        <f>120-(2*5)-(2*VLOOKUP(C9,$O$5:$S$11,4,FALSE))</f>
        <v>100</v>
      </c>
      <c r="J9" s="226">
        <f>VLOOKUP(C9,$O$5:$S$11,5,FALSE)</f>
        <v>8</v>
      </c>
      <c r="K9" s="416">
        <f t="shared" si="0"/>
        <v>42.708480000000002</v>
      </c>
      <c r="L9" s="402" t="s">
        <v>43</v>
      </c>
      <c r="M9" s="20"/>
      <c r="N9" s="20"/>
      <c r="O9" s="413" t="s">
        <v>16</v>
      </c>
      <c r="P9" s="233">
        <v>1</v>
      </c>
      <c r="Q9" s="262">
        <v>3.99</v>
      </c>
      <c r="R9" s="232">
        <f>ROUNDUP((8/8*2.54*3.5),0)</f>
        <v>9</v>
      </c>
      <c r="S9" s="260">
        <f t="shared" si="1"/>
        <v>14</v>
      </c>
      <c r="T9" s="78"/>
      <c r="U9" s="78"/>
      <c r="V9" s="78"/>
      <c r="W9" s="78"/>
    </row>
    <row r="10" spans="1:23" ht="32.25" customHeight="1" thickBot="1" x14ac:dyDescent="0.3">
      <c r="A10" s="1127"/>
      <c r="B10" s="905" t="s">
        <v>13</v>
      </c>
      <c r="C10" s="226" t="s">
        <v>18</v>
      </c>
      <c r="D10" s="226">
        <f>D8*2</f>
        <v>212</v>
      </c>
      <c r="E10" s="281">
        <f>(H10*2)+(I10*2)+(J10*5)+20</f>
        <v>302</v>
      </c>
      <c r="F10" s="117"/>
      <c r="G10" s="252"/>
      <c r="H10" s="280">
        <f>31-(2*VLOOKUP(C10,$O$5:$S$11,4,FALSE))</f>
        <v>21</v>
      </c>
      <c r="I10" s="226">
        <f>120-(2*5)-(2*VLOOKUP(C10,$O$5:$S$13,4,FALSE))</f>
        <v>100</v>
      </c>
      <c r="J10" s="226">
        <f>VLOOKUP(C10,$O$5:$S$11,5,FALSE)</f>
        <v>8</v>
      </c>
      <c r="K10" s="435">
        <f t="shared" si="0"/>
        <v>637.67903999999999</v>
      </c>
      <c r="L10" s="402" t="s">
        <v>43</v>
      </c>
      <c r="M10" s="381"/>
      <c r="N10" s="381"/>
      <c r="O10" s="412" t="s">
        <v>290</v>
      </c>
      <c r="P10" s="221">
        <v>1.25</v>
      </c>
      <c r="Q10" s="263">
        <v>6.2249999999999996</v>
      </c>
      <c r="R10" s="405">
        <f>ROUNDUP((10/8*2.54*3.5),0)</f>
        <v>12</v>
      </c>
      <c r="S10" s="259">
        <f t="shared" si="1"/>
        <v>19</v>
      </c>
      <c r="T10" s="78"/>
      <c r="U10" s="78"/>
      <c r="V10" s="78"/>
      <c r="W10" s="78"/>
    </row>
    <row r="11" spans="1:23" ht="32.25" customHeight="1" thickBot="1" x14ac:dyDescent="0.3">
      <c r="A11" s="1128"/>
      <c r="B11" s="913" t="s">
        <v>101</v>
      </c>
      <c r="C11" s="283" t="s">
        <v>18</v>
      </c>
      <c r="D11" s="283">
        <f>D9*2</f>
        <v>16</v>
      </c>
      <c r="E11" s="284">
        <f>(H11*2)+(I11*2)+(J11*5)+20</f>
        <v>306</v>
      </c>
      <c r="F11" s="193"/>
      <c r="G11" s="271"/>
      <c r="H11" s="282">
        <f>33-(2*VLOOKUP(C11,O5:S11,4,FALSE))</f>
        <v>23</v>
      </c>
      <c r="I11" s="283">
        <f>120-(2*5)-(2*VLOOKUP(C11,$O$5:$S$13,4,FALSE))</f>
        <v>100</v>
      </c>
      <c r="J11" s="283">
        <f>VLOOKUP(C11,$O$5:$S$11,5,FALSE)</f>
        <v>8</v>
      </c>
      <c r="K11" s="436">
        <f t="shared" si="0"/>
        <v>48.764160000000004</v>
      </c>
      <c r="L11" s="402" t="s">
        <v>43</v>
      </c>
      <c r="M11" s="20"/>
      <c r="N11" s="20"/>
      <c r="O11" s="413" t="s">
        <v>286</v>
      </c>
      <c r="P11" s="234">
        <v>1.5</v>
      </c>
      <c r="Q11" s="262">
        <v>8.9380000000000006</v>
      </c>
      <c r="R11" s="232">
        <f>ROUNDUP((12/8*2.54*3.5),0)</f>
        <v>14</v>
      </c>
      <c r="S11" s="258">
        <f t="shared" si="1"/>
        <v>22</v>
      </c>
      <c r="T11" s="78"/>
      <c r="U11" s="78"/>
      <c r="V11" s="78"/>
      <c r="W11" s="78"/>
    </row>
    <row r="12" spans="1:23" ht="30.75" customHeight="1" x14ac:dyDescent="0.25">
      <c r="A12" s="955" t="s">
        <v>245</v>
      </c>
      <c r="B12" s="903" t="s">
        <v>14</v>
      </c>
      <c r="C12" s="248" t="s">
        <v>18</v>
      </c>
      <c r="D12" s="248">
        <f>(12*2)+6</f>
        <v>30</v>
      </c>
      <c r="E12" s="272">
        <f t="shared" ref="E12:E17" si="2">H12+(I12*2)+(J12*2)</f>
        <v>1100</v>
      </c>
      <c r="F12" s="979"/>
      <c r="G12" s="274"/>
      <c r="H12" s="267">
        <f>1110-(2*5)</f>
        <v>1100</v>
      </c>
      <c r="I12" s="248"/>
      <c r="J12" s="276"/>
      <c r="K12" s="432">
        <f t="shared" si="0"/>
        <v>328.68</v>
      </c>
      <c r="L12" s="402" t="s">
        <v>43</v>
      </c>
      <c r="N12" s="20"/>
      <c r="O12" s="11"/>
      <c r="P12" s="438"/>
      <c r="Q12" s="410"/>
      <c r="R12" s="401"/>
      <c r="S12" s="434"/>
      <c r="T12" s="78"/>
      <c r="U12" s="78"/>
      <c r="V12" s="78"/>
      <c r="W12" s="78"/>
    </row>
    <row r="13" spans="1:23" ht="30.75" customHeight="1" x14ac:dyDescent="0.25">
      <c r="A13" s="955"/>
      <c r="B13" s="904" t="s">
        <v>37</v>
      </c>
      <c r="C13" s="414" t="s">
        <v>18</v>
      </c>
      <c r="D13" s="414">
        <v>2</v>
      </c>
      <c r="E13" s="419">
        <f t="shared" si="2"/>
        <v>1104</v>
      </c>
      <c r="F13" s="981"/>
      <c r="G13" s="252"/>
      <c r="H13" s="418">
        <v>1104</v>
      </c>
      <c r="I13" s="414"/>
      <c r="J13" s="222"/>
      <c r="K13" s="433">
        <f t="shared" si="0"/>
        <v>21.991679999999999</v>
      </c>
      <c r="L13" s="402" t="s">
        <v>43</v>
      </c>
      <c r="M13" s="11"/>
      <c r="N13" s="20"/>
      <c r="O13" s="11"/>
      <c r="P13" s="438"/>
      <c r="Q13" s="410"/>
      <c r="R13" s="401"/>
      <c r="S13" s="434"/>
      <c r="T13" s="78"/>
      <c r="U13" s="78"/>
      <c r="V13" s="78"/>
      <c r="W13" s="78"/>
    </row>
    <row r="14" spans="1:23" ht="30.75" customHeight="1" x14ac:dyDescent="0.25">
      <c r="A14" s="955"/>
      <c r="B14" s="904" t="s">
        <v>38</v>
      </c>
      <c r="C14" s="414" t="s">
        <v>18</v>
      </c>
      <c r="D14" s="414">
        <f>(10*2)+6</f>
        <v>26</v>
      </c>
      <c r="E14" s="419">
        <f t="shared" si="2"/>
        <v>1104.06</v>
      </c>
      <c r="F14" s="401"/>
      <c r="G14" s="252"/>
      <c r="H14" s="418">
        <f>1114.06-(2*5)</f>
        <v>1104.06</v>
      </c>
      <c r="I14" s="414"/>
      <c r="J14" s="222"/>
      <c r="K14" s="433">
        <f t="shared" si="0"/>
        <v>285.90737759999996</v>
      </c>
      <c r="L14" s="402" t="s">
        <v>43</v>
      </c>
      <c r="M14" s="11"/>
      <c r="N14" s="406"/>
      <c r="O14" s="11"/>
      <c r="P14" s="438"/>
      <c r="Q14" s="410"/>
      <c r="R14" s="401"/>
      <c r="S14" s="434"/>
      <c r="T14" s="78"/>
      <c r="U14" s="78"/>
      <c r="V14" s="78"/>
      <c r="W14" s="78"/>
    </row>
    <row r="15" spans="1:23" ht="30.75" customHeight="1" x14ac:dyDescent="0.25">
      <c r="A15" s="955"/>
      <c r="B15" s="904" t="s">
        <v>342</v>
      </c>
      <c r="C15" s="414" t="s">
        <v>18</v>
      </c>
      <c r="D15" s="414">
        <v>2</v>
      </c>
      <c r="E15" s="419">
        <f t="shared" si="2"/>
        <v>992.18</v>
      </c>
      <c r="F15" s="401"/>
      <c r="G15" s="252"/>
      <c r="H15" s="418">
        <f>992.18</f>
        <v>992.18</v>
      </c>
      <c r="I15" s="414"/>
      <c r="J15" s="222"/>
      <c r="K15" s="433">
        <f t="shared" si="0"/>
        <v>19.7642256</v>
      </c>
      <c r="L15" s="402" t="s">
        <v>43</v>
      </c>
      <c r="M15" s="11"/>
      <c r="N15" s="406"/>
      <c r="O15" s="11"/>
      <c r="P15" s="438"/>
      <c r="Q15" s="410"/>
      <c r="R15" s="401"/>
      <c r="S15" s="434"/>
      <c r="T15" s="78"/>
      <c r="U15" s="78"/>
      <c r="V15" s="78"/>
      <c r="W15" s="78"/>
    </row>
    <row r="16" spans="1:23" ht="30.75" customHeight="1" x14ac:dyDescent="0.25">
      <c r="A16" s="955"/>
      <c r="B16" s="904" t="s">
        <v>343</v>
      </c>
      <c r="C16" s="728" t="s">
        <v>18</v>
      </c>
      <c r="D16" s="728">
        <v>2</v>
      </c>
      <c r="E16" s="729">
        <f t="shared" si="2"/>
        <v>367.7</v>
      </c>
      <c r="F16" s="725"/>
      <c r="G16" s="252"/>
      <c r="H16" s="730">
        <f>367.7</f>
        <v>367.7</v>
      </c>
      <c r="I16" s="728"/>
      <c r="J16" s="222"/>
      <c r="K16" s="433">
        <f t="shared" si="0"/>
        <v>7.3245839999999998</v>
      </c>
      <c r="L16" s="723" t="s">
        <v>43</v>
      </c>
      <c r="M16" s="740"/>
      <c r="N16" s="722"/>
      <c r="O16" s="740"/>
      <c r="P16" s="438"/>
      <c r="Q16" s="731"/>
      <c r="R16" s="725"/>
      <c r="S16" s="434"/>
      <c r="T16" s="78"/>
      <c r="U16" s="78"/>
      <c r="V16" s="78"/>
      <c r="W16" s="78"/>
    </row>
    <row r="17" spans="1:23" ht="30.75" customHeight="1" x14ac:dyDescent="0.25">
      <c r="A17" s="955"/>
      <c r="B17" s="904" t="s">
        <v>404</v>
      </c>
      <c r="C17" s="414" t="s">
        <v>18</v>
      </c>
      <c r="D17" s="414">
        <v>2</v>
      </c>
      <c r="E17" s="419">
        <f t="shared" si="2"/>
        <v>1108.6300000000001</v>
      </c>
      <c r="F17" s="400"/>
      <c r="G17" s="275"/>
      <c r="H17" s="409">
        <v>1108.6300000000001</v>
      </c>
      <c r="I17" s="407"/>
      <c r="J17" s="431"/>
      <c r="K17" s="433">
        <f t="shared" si="0"/>
        <v>22.083909600000002</v>
      </c>
      <c r="L17" s="402" t="s">
        <v>43</v>
      </c>
      <c r="M17" s="11"/>
      <c r="N17" s="406"/>
      <c r="O17" s="11"/>
      <c r="P17" s="438"/>
      <c r="Q17" s="410"/>
      <c r="R17" s="401"/>
      <c r="S17" s="434"/>
      <c r="T17" s="78"/>
      <c r="U17" s="78"/>
      <c r="V17" s="78"/>
      <c r="W17" s="78"/>
    </row>
    <row r="18" spans="1:23" ht="31.5" customHeight="1" x14ac:dyDescent="0.25">
      <c r="A18" s="955"/>
      <c r="B18" s="1083" t="s">
        <v>262</v>
      </c>
      <c r="C18" s="449" t="s">
        <v>18</v>
      </c>
      <c r="D18" s="414">
        <v>52</v>
      </c>
      <c r="E18" s="419">
        <f>(H18*2)+(I18*2)+(J18*5)+20</f>
        <v>816</v>
      </c>
      <c r="F18" s="982"/>
      <c r="G18" s="427" t="s">
        <v>31</v>
      </c>
      <c r="H18" s="418">
        <f>373-(2*VLOOKUP(C18,$O$5:$S$11,4,FALSE))</f>
        <v>363</v>
      </c>
      <c r="I18" s="414">
        <f>31-(2*3)-(2*VLOOKUP(C18,$O$5:$S$11,4,FALSE))</f>
        <v>15</v>
      </c>
      <c r="J18" s="414">
        <f>VLOOKUP(C18,$O$5:$S$11,5,FALSE)</f>
        <v>8</v>
      </c>
      <c r="K18" s="420">
        <f>(((E18+E19)/2)/100)*D18*VLOOKUP(C18,$O$5:$Q$11,3,FALSE)</f>
        <v>415.37183999999996</v>
      </c>
      <c r="L18" s="402" t="s">
        <v>43</v>
      </c>
      <c r="M18" s="20"/>
      <c r="N18" s="20"/>
      <c r="O18" s="11"/>
      <c r="P18" s="379"/>
      <c r="Q18" s="11"/>
      <c r="R18" s="11"/>
      <c r="S18" s="78"/>
      <c r="T18" s="78"/>
      <c r="U18" s="78"/>
      <c r="V18" s="78"/>
      <c r="W18" s="78"/>
    </row>
    <row r="19" spans="1:23" ht="31.5" customHeight="1" x14ac:dyDescent="0.25">
      <c r="A19" s="955"/>
      <c r="B19" s="1084"/>
      <c r="C19" s="449"/>
      <c r="D19" s="414"/>
      <c r="E19" s="419">
        <f>(H19*2)+(I19*2)+(J19*5)+20</f>
        <v>788</v>
      </c>
      <c r="F19" s="981"/>
      <c r="G19" s="427" t="s">
        <v>32</v>
      </c>
      <c r="H19" s="418">
        <f>359-(2*VLOOKUP(C18,$O$5:$S$11,4,FALSE))</f>
        <v>349</v>
      </c>
      <c r="I19" s="414">
        <f>31-(2*3)-(2*VLOOKUP(C18,$O$5:$S$11,4,FALSE))</f>
        <v>15</v>
      </c>
      <c r="J19" s="414">
        <f>VLOOKUP(C18,$O$5:$S$11,5,FALSE)</f>
        <v>8</v>
      </c>
      <c r="K19" s="420"/>
      <c r="L19" s="402"/>
      <c r="M19" s="406"/>
      <c r="N19" s="406"/>
      <c r="O19" s="11"/>
      <c r="P19" s="379"/>
      <c r="Q19" s="11"/>
      <c r="R19" s="11"/>
      <c r="S19" s="78"/>
      <c r="T19" s="78"/>
      <c r="U19" s="78"/>
      <c r="V19" s="78"/>
      <c r="W19" s="78"/>
    </row>
    <row r="20" spans="1:23" ht="31.5" customHeight="1" x14ac:dyDescent="0.25">
      <c r="A20" s="955"/>
      <c r="B20" s="1112"/>
      <c r="C20" s="949" t="s">
        <v>334</v>
      </c>
      <c r="D20" s="949"/>
      <c r="E20" s="993"/>
      <c r="F20" s="981"/>
      <c r="G20" s="427" t="s">
        <v>88</v>
      </c>
      <c r="H20" s="439">
        <f>(H18-H19)/(D18-1)</f>
        <v>0.27450980392156865</v>
      </c>
      <c r="I20" s="414"/>
      <c r="J20" s="414"/>
      <c r="K20" s="420"/>
      <c r="L20" s="402"/>
      <c r="M20" s="406"/>
      <c r="N20" s="406"/>
      <c r="O20" s="11"/>
      <c r="P20" s="379"/>
      <c r="Q20" s="11"/>
      <c r="R20" s="11"/>
      <c r="S20" s="78"/>
      <c r="T20" s="78"/>
      <c r="U20" s="78"/>
      <c r="V20" s="78"/>
      <c r="W20" s="78"/>
    </row>
    <row r="21" spans="1:23" ht="31.5" customHeight="1" x14ac:dyDescent="0.25">
      <c r="A21" s="955"/>
      <c r="B21" s="1083" t="s">
        <v>35</v>
      </c>
      <c r="C21" s="449" t="s">
        <v>18</v>
      </c>
      <c r="D21" s="414">
        <v>52</v>
      </c>
      <c r="E21" s="419">
        <f>(H21*2)+(I21*2)+(J21*5)+20</f>
        <v>788</v>
      </c>
      <c r="F21" s="981"/>
      <c r="G21" s="427" t="s">
        <v>31</v>
      </c>
      <c r="H21" s="418">
        <f>359-(2*VLOOKUP(C21,$O$5:$S$11,4,FALSE))</f>
        <v>349</v>
      </c>
      <c r="I21" s="414">
        <f>31-(2*3)-(2*VLOOKUP(C21,$O$5:$S$11,4,FALSE))</f>
        <v>15</v>
      </c>
      <c r="J21" s="414">
        <f>VLOOKUP(C21,$O$5:$S$11,5,FALSE)</f>
        <v>8</v>
      </c>
      <c r="K21" s="420">
        <f>(((E21+E22)/2)/100)*D21*VLOOKUP(C21,$O$5:$Q$11,3,FALSE)</f>
        <v>389.99376000000001</v>
      </c>
      <c r="L21" s="402" t="s">
        <v>43</v>
      </c>
      <c r="M21" s="20"/>
      <c r="N21" s="20"/>
      <c r="O21" s="3"/>
      <c r="P21" s="21"/>
      <c r="Q21" s="3"/>
      <c r="R21" s="20"/>
    </row>
    <row r="22" spans="1:23" ht="31.5" customHeight="1" x14ac:dyDescent="0.25">
      <c r="A22" s="955"/>
      <c r="B22" s="1084"/>
      <c r="C22" s="449"/>
      <c r="D22" s="414"/>
      <c r="E22" s="419">
        <f>(H22*2)+(I22*2)+(J22*5)+20</f>
        <v>718</v>
      </c>
      <c r="F22" s="401"/>
      <c r="G22" s="427" t="s">
        <v>32</v>
      </c>
      <c r="H22" s="418">
        <f>324-(2*VLOOKUP(C21,$O$5:$S$11,4,FALSE))</f>
        <v>314</v>
      </c>
      <c r="I22" s="414">
        <f>31-(2*3)-(2*VLOOKUP(C21,$O$5:$S$11,4,FALSE))</f>
        <v>15</v>
      </c>
      <c r="J22" s="414">
        <f>VLOOKUP(C21,$O$5:$S$11,5,FALSE)</f>
        <v>8</v>
      </c>
      <c r="K22" s="420"/>
      <c r="L22" s="402"/>
      <c r="M22" s="406"/>
      <c r="N22" s="406"/>
      <c r="O22" s="3"/>
      <c r="P22" s="21"/>
      <c r="Q22" s="3"/>
      <c r="R22" s="406"/>
    </row>
    <row r="23" spans="1:23" ht="31.5" customHeight="1" thickBot="1" x14ac:dyDescent="0.3">
      <c r="A23" s="955"/>
      <c r="B23" s="1085"/>
      <c r="C23" s="1120" t="s">
        <v>335</v>
      </c>
      <c r="D23" s="1120"/>
      <c r="E23" s="1121"/>
      <c r="F23" s="400"/>
      <c r="G23" s="427" t="s">
        <v>88</v>
      </c>
      <c r="H23" s="439">
        <f>(H21-H22)/(D21-1)</f>
        <v>0.68627450980392157</v>
      </c>
      <c r="I23" s="414"/>
      <c r="J23" s="414"/>
      <c r="K23" s="420"/>
      <c r="L23" s="402"/>
      <c r="M23" s="406"/>
      <c r="N23" s="406"/>
      <c r="O23" s="3"/>
      <c r="P23" s="21"/>
      <c r="Q23" s="3"/>
      <c r="R23" s="406"/>
    </row>
    <row r="24" spans="1:23" ht="87.75" customHeight="1" x14ac:dyDescent="0.25">
      <c r="A24" s="955"/>
      <c r="B24" s="1084" t="s">
        <v>15</v>
      </c>
      <c r="C24" s="1119" t="s">
        <v>18</v>
      </c>
      <c r="D24" s="1087">
        <f>D18+D21+4</f>
        <v>108</v>
      </c>
      <c r="E24" s="1090">
        <f>H24+I24+61+(J24*4)+39+39</f>
        <v>230</v>
      </c>
      <c r="F24" s="981"/>
      <c r="G24" s="981"/>
      <c r="H24" s="1093">
        <f>71-(2*3)-(2*VLOOKUP(C24,O5:S11,4,FALSE))</f>
        <v>55</v>
      </c>
      <c r="I24" s="1087">
        <f>20-(2*3)-(2*VLOOKUP(C24,O5:S11,4,FALSE))</f>
        <v>4</v>
      </c>
      <c r="J24" s="1087">
        <f>VLOOKUP(C24,O5:S11,5,FALSE)</f>
        <v>8</v>
      </c>
      <c r="K24" s="1133">
        <f>(E24/100)*D24*VLOOKUP(C24,$O$5:$Q$11,3,FALSE)</f>
        <v>247.40639999999996</v>
      </c>
      <c r="L24" s="925" t="s">
        <v>43</v>
      </c>
      <c r="M24" s="20"/>
      <c r="N24" s="20"/>
      <c r="O24" s="3"/>
      <c r="P24" s="21"/>
      <c r="Q24" s="3"/>
      <c r="R24" s="20"/>
    </row>
    <row r="25" spans="1:23" ht="87.75" customHeight="1" thickBot="1" x14ac:dyDescent="0.3">
      <c r="A25" s="955"/>
      <c r="B25" s="1084"/>
      <c r="C25" s="1119"/>
      <c r="D25" s="1087"/>
      <c r="E25" s="1090"/>
      <c r="F25" s="983"/>
      <c r="G25" s="983"/>
      <c r="H25" s="1094"/>
      <c r="I25" s="1088"/>
      <c r="J25" s="1088"/>
      <c r="K25" s="1134"/>
      <c r="L25" s="925"/>
      <c r="M25" s="739" t="s">
        <v>242</v>
      </c>
      <c r="N25" s="20"/>
      <c r="O25" s="3"/>
      <c r="P25" s="21"/>
      <c r="Q25" s="3"/>
      <c r="R25" s="20"/>
    </row>
    <row r="26" spans="1:23" ht="26.25" customHeight="1" x14ac:dyDescent="0.25">
      <c r="A26" s="1072" t="s">
        <v>26</v>
      </c>
      <c r="B26" s="1111" t="s">
        <v>98</v>
      </c>
      <c r="C26" s="248" t="s">
        <v>18</v>
      </c>
      <c r="D26" s="248">
        <v>6</v>
      </c>
      <c r="E26" s="272">
        <f>H26+(I26*2)+(J26*2)</f>
        <v>212.8</v>
      </c>
      <c r="F26" s="979"/>
      <c r="G26" s="1014"/>
      <c r="H26" s="409">
        <f>79-(2*5)-2*(VLOOKUP(C26,$O$5:$S$11,4,FALSE))</f>
        <v>59</v>
      </c>
      <c r="I26" s="248">
        <f>(51.9+30)-3-(2*(VLOOKUP(C26,$O$5:$S$11,4,FALSE)))</f>
        <v>68.900000000000006</v>
      </c>
      <c r="J26" s="407">
        <f>VLOOKUP(C26,$O$5:$S$11,5,FALSE)</f>
        <v>8</v>
      </c>
      <c r="K26" s="411">
        <f>((((E26+E27)/2)/100)*D26*VLOOKUP(C26,$O$5:$Q$11,3,FALSE))*M26</f>
        <v>102.12984</v>
      </c>
      <c r="L26" s="402" t="s">
        <v>43</v>
      </c>
      <c r="M26" s="632">
        <v>10</v>
      </c>
      <c r="N26" s="20"/>
      <c r="O26" s="20"/>
      <c r="P26" s="20"/>
      <c r="Q26" s="20"/>
      <c r="R26" s="20"/>
    </row>
    <row r="27" spans="1:23" ht="26.25" customHeight="1" x14ac:dyDescent="0.25">
      <c r="A27" s="1044"/>
      <c r="B27" s="1084"/>
      <c r="C27" s="753"/>
      <c r="D27" s="753"/>
      <c r="E27" s="756">
        <f>H27+(I27*2)+(J27*2)</f>
        <v>129</v>
      </c>
      <c r="F27" s="981"/>
      <c r="G27" s="1010"/>
      <c r="H27" s="730">
        <f>79-(2*5)-2*(VLOOKUP(C26,$O$3:$S$11,4,FALSE))</f>
        <v>59</v>
      </c>
      <c r="I27" s="733">
        <f>(10+30)-3-(2*(VLOOKUP(C26,$O$5:$S$11,4,FALSE)))</f>
        <v>27</v>
      </c>
      <c r="J27" s="728">
        <f>VLOOKUP(C26,$O$4:$S$11,5,FALSE)</f>
        <v>8</v>
      </c>
      <c r="K27" s="737"/>
      <c r="L27" s="723"/>
      <c r="M27" s="722"/>
      <c r="N27" s="722"/>
      <c r="O27" s="722"/>
      <c r="P27" s="722"/>
      <c r="Q27" s="722"/>
      <c r="R27" s="722"/>
    </row>
    <row r="28" spans="1:23" ht="26.25" customHeight="1" x14ac:dyDescent="0.25">
      <c r="A28" s="1044"/>
      <c r="B28" s="1112"/>
      <c r="C28" s="1018" t="str">
        <f>CONCATENATE(M26," juegos de ",D26," vars.")</f>
        <v>10 juegos de 6 vars.</v>
      </c>
      <c r="D28" s="1018"/>
      <c r="E28" s="1019"/>
      <c r="F28" s="981"/>
      <c r="G28" s="1010"/>
      <c r="H28" s="4"/>
      <c r="I28" s="631">
        <f>(I26-I27)/(D26-1)</f>
        <v>8.3800000000000008</v>
      </c>
      <c r="J28" s="728"/>
      <c r="K28" s="737"/>
      <c r="L28" s="723"/>
      <c r="M28" s="739" t="s">
        <v>242</v>
      </c>
      <c r="N28" s="722"/>
      <c r="O28" s="722"/>
      <c r="P28" s="722"/>
      <c r="Q28" s="722"/>
      <c r="R28" s="722"/>
    </row>
    <row r="29" spans="1:23" ht="26.25" customHeight="1" x14ac:dyDescent="0.25">
      <c r="A29" s="1044"/>
      <c r="B29" s="1083" t="s">
        <v>99</v>
      </c>
      <c r="C29" s="750" t="s">
        <v>18</v>
      </c>
      <c r="D29" s="750">
        <v>6</v>
      </c>
      <c r="E29" s="751">
        <f>H29+(I29*2)+(J29*2)</f>
        <v>203.8</v>
      </c>
      <c r="F29" s="981"/>
      <c r="G29" s="1010"/>
      <c r="H29" s="730">
        <f>70-(2*5)-2*(VLOOKUP(C29,$O$5:$S$11,4,FALSE))</f>
        <v>50</v>
      </c>
      <c r="I29" s="728">
        <f>(51.9+30)-3-(2*(VLOOKUP(C29,$O$5:$S$11,4,FALSE)))</f>
        <v>68.900000000000006</v>
      </c>
      <c r="J29" s="728">
        <f>VLOOKUP(C29,$O$5:$S$11,5,FALSE)</f>
        <v>8</v>
      </c>
      <c r="K29" s="737">
        <f>((((E29+E30)/2)/100)*D29*VLOOKUP(C29,$O$5:$Q$11,3,FALSE))*M29</f>
        <v>96.751440000000002</v>
      </c>
      <c r="L29" s="402" t="s">
        <v>43</v>
      </c>
      <c r="M29" s="632">
        <v>10</v>
      </c>
      <c r="N29" s="20"/>
      <c r="O29" s="20"/>
      <c r="P29" s="20"/>
      <c r="Q29" s="20"/>
      <c r="R29" s="20"/>
    </row>
    <row r="30" spans="1:23" ht="26.25" customHeight="1" x14ac:dyDescent="0.25">
      <c r="A30" s="1044"/>
      <c r="B30" s="1084"/>
      <c r="C30" s="746"/>
      <c r="D30" s="746"/>
      <c r="E30" s="756">
        <f>H30+(I30*2)+(J30*2)</f>
        <v>120</v>
      </c>
      <c r="F30" s="981"/>
      <c r="G30" s="1010"/>
      <c r="H30" s="730">
        <f>70-(2*5)-2*(VLOOKUP(C29,$O$5:$S$11,4,FALSE))</f>
        <v>50</v>
      </c>
      <c r="I30" s="728">
        <f>(10+30)-3-(2*(VLOOKUP(C29,$O$5:$S$11,4,FALSE)))</f>
        <v>27</v>
      </c>
      <c r="J30" s="728">
        <f>VLOOKUP(C29,$O$5:$S$11,5,FALSE)</f>
        <v>8</v>
      </c>
      <c r="K30" s="737"/>
      <c r="L30" s="723"/>
      <c r="M30" s="722"/>
      <c r="N30" s="722"/>
      <c r="O30" s="722"/>
      <c r="P30" s="722"/>
      <c r="Q30" s="722"/>
      <c r="R30" s="722"/>
    </row>
    <row r="31" spans="1:23" ht="26.25" customHeight="1" thickBot="1" x14ac:dyDescent="0.3">
      <c r="A31" s="1044"/>
      <c r="B31" s="1112"/>
      <c r="C31" s="1018" t="str">
        <f>CONCATENATE(M29," juegos de ",D29," vars.")</f>
        <v>10 juegos de 6 vars.</v>
      </c>
      <c r="D31" s="1018"/>
      <c r="E31" s="1019"/>
      <c r="F31" s="980"/>
      <c r="G31" s="1012"/>
      <c r="H31" s="727"/>
      <c r="I31" s="631">
        <f>(I29-I30)/(D29-1)</f>
        <v>8.3800000000000008</v>
      </c>
      <c r="J31" s="738"/>
      <c r="K31" s="760"/>
      <c r="L31" s="723"/>
      <c r="M31" s="722"/>
      <c r="N31" s="722"/>
      <c r="O31" s="722"/>
      <c r="P31" s="722"/>
      <c r="Q31" s="722"/>
      <c r="R31" s="722"/>
    </row>
    <row r="32" spans="1:23" ht="116.25" customHeight="1" x14ac:dyDescent="0.25">
      <c r="A32" s="1118"/>
      <c r="B32" s="907" t="s">
        <v>100</v>
      </c>
      <c r="C32" s="746" t="s">
        <v>18</v>
      </c>
      <c r="D32" s="746">
        <v>43</v>
      </c>
      <c r="E32" s="747">
        <f>(H32*2)+(I32*2)+(5*J32)+20</f>
        <v>294</v>
      </c>
      <c r="F32" s="949"/>
      <c r="G32" s="949"/>
      <c r="H32" s="734">
        <f>79-(2*3)-(2*VLOOKUP(C32,O$5:S$11,4,FALSE))</f>
        <v>63</v>
      </c>
      <c r="I32" s="735">
        <f>70-(2*3)-(2*VLOOKUP(C32,$O$5:$S$11,4,FALSE))</f>
        <v>54</v>
      </c>
      <c r="J32" s="735">
        <f t="shared" ref="J32:J42" si="3">VLOOKUP(C32,$O$5:$S$11,5,FALSE)</f>
        <v>8</v>
      </c>
      <c r="K32" s="736">
        <f t="shared" ref="K32:K43" si="4">(E32/100)*D32*VLOOKUP(C32,$O$5:$Q$11,3,FALSE)</f>
        <v>125.91432</v>
      </c>
      <c r="L32" s="402" t="s">
        <v>43</v>
      </c>
      <c r="M32" s="20"/>
      <c r="N32" s="20"/>
      <c r="O32" s="20"/>
      <c r="P32" s="20"/>
      <c r="Q32" s="20"/>
      <c r="R32" s="20"/>
    </row>
    <row r="33" spans="1:18" ht="52.5" customHeight="1" x14ac:dyDescent="0.25">
      <c r="A33" s="1124" t="s">
        <v>27</v>
      </c>
      <c r="B33" s="904" t="s">
        <v>403</v>
      </c>
      <c r="C33" s="750" t="s">
        <v>18</v>
      </c>
      <c r="D33" s="750">
        <f>6+7+9</f>
        <v>22</v>
      </c>
      <c r="E33" s="751">
        <f>(H33*2)+(I33*2)+(5*J33)+20</f>
        <v>318</v>
      </c>
      <c r="F33" s="726"/>
      <c r="G33" s="726"/>
      <c r="H33" s="730">
        <f>42-(2*3)-(2*VLOOKUP(C33,O5:S11,4,FALSE))</f>
        <v>26</v>
      </c>
      <c r="I33" s="728">
        <f>119-(2*3)-(2*VLOOKUP(C33,$O$5:$S$11,4,FALSE))</f>
        <v>103</v>
      </c>
      <c r="J33" s="728">
        <f t="shared" si="3"/>
        <v>8</v>
      </c>
      <c r="K33" s="737">
        <f t="shared" si="4"/>
        <v>69.680160000000001</v>
      </c>
      <c r="L33" s="402" t="s">
        <v>43</v>
      </c>
      <c r="M33" s="20"/>
      <c r="N33" s="20"/>
      <c r="O33" s="20"/>
      <c r="P33" s="20"/>
      <c r="Q33" s="20"/>
      <c r="R33" s="20"/>
    </row>
    <row r="34" spans="1:18" ht="52.5" customHeight="1" x14ac:dyDescent="0.25">
      <c r="A34" s="955"/>
      <c r="B34" s="904" t="s">
        <v>374</v>
      </c>
      <c r="C34" s="750" t="s">
        <v>18</v>
      </c>
      <c r="D34" s="750">
        <v>7</v>
      </c>
      <c r="E34" s="751">
        <f>(H34*2)+(I34*2)+(5*J34)+20</f>
        <v>292</v>
      </c>
      <c r="F34" s="724"/>
      <c r="G34" s="724"/>
      <c r="H34" s="730">
        <f>29-(2*3)-(2*VLOOKUP(C34,O6:S12,4,FALSE))</f>
        <v>13</v>
      </c>
      <c r="I34" s="728">
        <f>119-(2*3)-(2*VLOOKUP(C34,$O$5:$S$11,4,FALSE))</f>
        <v>103</v>
      </c>
      <c r="J34" s="728">
        <f t="shared" si="3"/>
        <v>8</v>
      </c>
      <c r="K34" s="737">
        <f t="shared" si="4"/>
        <v>20.358239999999999</v>
      </c>
      <c r="L34" s="402" t="s">
        <v>43</v>
      </c>
      <c r="M34" s="406"/>
      <c r="N34" s="406"/>
      <c r="O34" s="406"/>
      <c r="P34" s="406"/>
      <c r="Q34" s="406"/>
      <c r="R34" s="406"/>
    </row>
    <row r="35" spans="1:18" ht="22.5" customHeight="1" x14ac:dyDescent="0.25">
      <c r="A35" s="955"/>
      <c r="B35" s="904" t="s">
        <v>119</v>
      </c>
      <c r="C35" s="750" t="s">
        <v>18</v>
      </c>
      <c r="D35" s="750">
        <v>8</v>
      </c>
      <c r="E35" s="751">
        <f>H35+(I35*2)+(J35*2)</f>
        <v>204</v>
      </c>
      <c r="F35" s="981"/>
      <c r="G35" s="981"/>
      <c r="H35" s="730">
        <f>42-(2*4)-(2*VLOOKUP(C35,$O$5:$S$11,4,FALSE))</f>
        <v>24</v>
      </c>
      <c r="I35" s="728">
        <f>((60-3)-(VLOOKUP(C35,$O$5:$S$11,4,FALSE)))+30</f>
        <v>82</v>
      </c>
      <c r="J35" s="728">
        <f t="shared" si="3"/>
        <v>8</v>
      </c>
      <c r="K35" s="737">
        <f t="shared" si="4"/>
        <v>16.254719999999999</v>
      </c>
      <c r="L35" s="402" t="s">
        <v>143</v>
      </c>
      <c r="M35" s="20"/>
      <c r="N35" s="20"/>
      <c r="O35" s="20"/>
      <c r="P35" s="20"/>
      <c r="Q35" s="20"/>
      <c r="R35" s="20"/>
    </row>
    <row r="36" spans="1:18" ht="22.5" customHeight="1" x14ac:dyDescent="0.25">
      <c r="A36" s="955"/>
      <c r="B36" s="904" t="s">
        <v>110</v>
      </c>
      <c r="C36" s="750" t="s">
        <v>18</v>
      </c>
      <c r="D36" s="750">
        <v>8</v>
      </c>
      <c r="E36" s="751">
        <f t="shared" ref="E36:E38" si="5">H36+(I36*2)+(J36*2)</f>
        <v>244</v>
      </c>
      <c r="F36" s="725"/>
      <c r="G36" s="725"/>
      <c r="H36" s="749">
        <f>42-(2*4)-(2*VLOOKUP(C36,$O$5:$S$11,4,FALSE))</f>
        <v>24</v>
      </c>
      <c r="I36" s="750">
        <f>((80-3)-(VLOOKUP(C36,$O$5:$S$11,4,FALSE)))+30</f>
        <v>102</v>
      </c>
      <c r="J36" s="750">
        <f t="shared" si="3"/>
        <v>8</v>
      </c>
      <c r="K36" s="755">
        <f t="shared" si="4"/>
        <v>19.44192</v>
      </c>
      <c r="L36" s="723" t="s">
        <v>143</v>
      </c>
      <c r="M36" s="722"/>
      <c r="N36" s="722"/>
      <c r="O36" s="722"/>
      <c r="P36" s="722"/>
      <c r="Q36" s="722"/>
      <c r="R36" s="722"/>
    </row>
    <row r="37" spans="1:18" ht="22.5" customHeight="1" x14ac:dyDescent="0.25">
      <c r="A37" s="955"/>
      <c r="B37" s="904" t="s">
        <v>277</v>
      </c>
      <c r="C37" s="750" t="s">
        <v>18</v>
      </c>
      <c r="D37" s="750">
        <v>8</v>
      </c>
      <c r="E37" s="751">
        <f t="shared" si="5"/>
        <v>231</v>
      </c>
      <c r="F37" s="725"/>
      <c r="G37" s="725"/>
      <c r="H37" s="749">
        <f>29-(2*4)-(2*VLOOKUP(C37,$O$5:$S$11,4,FALSE))</f>
        <v>11</v>
      </c>
      <c r="I37" s="750">
        <f>((80-3)-(VLOOKUP(C37,$O$5:$S$11,4,FALSE)))+30</f>
        <v>102</v>
      </c>
      <c r="J37" s="750">
        <f t="shared" si="3"/>
        <v>8</v>
      </c>
      <c r="K37" s="755">
        <f t="shared" si="4"/>
        <v>18.406079999999999</v>
      </c>
      <c r="L37" s="723" t="s">
        <v>143</v>
      </c>
      <c r="M37" s="722"/>
      <c r="N37" s="722"/>
      <c r="O37" s="722"/>
      <c r="P37" s="722"/>
      <c r="Q37" s="722"/>
      <c r="R37" s="722"/>
    </row>
    <row r="38" spans="1:18" ht="22.5" customHeight="1" x14ac:dyDescent="0.25">
      <c r="A38" s="955"/>
      <c r="B38" s="904" t="s">
        <v>377</v>
      </c>
      <c r="C38" s="750" t="s">
        <v>18</v>
      </c>
      <c r="D38" s="750">
        <v>8</v>
      </c>
      <c r="E38" s="751">
        <f t="shared" si="5"/>
        <v>284</v>
      </c>
      <c r="F38" s="725"/>
      <c r="G38" s="725"/>
      <c r="H38" s="749">
        <f>42-(2*4)-(2*VLOOKUP(C38,$O$5:$S$11,4,FALSE))</f>
        <v>24</v>
      </c>
      <c r="I38" s="750">
        <f>((100-3)-(VLOOKUP(C38,$O$5:$S$11,4,FALSE)))+30</f>
        <v>122</v>
      </c>
      <c r="J38" s="750">
        <f t="shared" si="3"/>
        <v>8</v>
      </c>
      <c r="K38" s="755">
        <f t="shared" si="4"/>
        <v>22.62912</v>
      </c>
      <c r="L38" s="723" t="s">
        <v>143</v>
      </c>
      <c r="M38" s="722"/>
      <c r="N38" s="722"/>
      <c r="O38" s="722"/>
      <c r="P38" s="722"/>
      <c r="Q38" s="722"/>
      <c r="R38" s="722"/>
    </row>
    <row r="39" spans="1:18" ht="22.5" customHeight="1" x14ac:dyDescent="0.25">
      <c r="A39" s="955"/>
      <c r="B39" s="905" t="s">
        <v>46</v>
      </c>
      <c r="C39" s="226" t="s">
        <v>18</v>
      </c>
      <c r="D39" s="226">
        <v>3</v>
      </c>
      <c r="E39" s="281">
        <f>H39+(I39*2)+(J39*2)</f>
        <v>281</v>
      </c>
      <c r="F39" s="401"/>
      <c r="G39" s="401"/>
      <c r="H39" s="280">
        <f>119-(2*4)-(2*VLOOKUP(C39,$O$5:$S$11,4,FALSE))</f>
        <v>101</v>
      </c>
      <c r="I39" s="750">
        <f>((60-3)-(VLOOKUP(C39,$O$5:$S$11,4,FALSE)))+30</f>
        <v>82</v>
      </c>
      <c r="J39" s="226">
        <f t="shared" si="3"/>
        <v>8</v>
      </c>
      <c r="K39" s="416">
        <f t="shared" si="4"/>
        <v>8.3962799999999991</v>
      </c>
      <c r="L39" s="402" t="s">
        <v>143</v>
      </c>
      <c r="M39" s="20"/>
      <c r="N39" s="20"/>
      <c r="O39" s="20"/>
      <c r="P39" s="20"/>
      <c r="Q39" s="20"/>
      <c r="R39" s="20"/>
    </row>
    <row r="40" spans="1:18" ht="22.5" customHeight="1" x14ac:dyDescent="0.25">
      <c r="A40" s="955"/>
      <c r="B40" s="914" t="s">
        <v>273</v>
      </c>
      <c r="C40" s="226" t="s">
        <v>18</v>
      </c>
      <c r="D40" s="226">
        <v>3</v>
      </c>
      <c r="E40" s="281">
        <f t="shared" ref="E40:E42" si="6">H40+(I40*2)+(J40*2)</f>
        <v>321</v>
      </c>
      <c r="F40" s="725"/>
      <c r="G40" s="725"/>
      <c r="H40" s="280">
        <f>119-(2*4)-(2*VLOOKUP(C40,$O$5:$S$11,4,FALSE))</f>
        <v>101</v>
      </c>
      <c r="I40" s="750">
        <f>((80-3)-(VLOOKUP(C40,$O$5:$S$11,4,FALSE)))+30</f>
        <v>102</v>
      </c>
      <c r="J40" s="226">
        <f t="shared" si="3"/>
        <v>8</v>
      </c>
      <c r="K40" s="416">
        <f t="shared" si="4"/>
        <v>9.5914799999999989</v>
      </c>
      <c r="L40" s="723" t="s">
        <v>143</v>
      </c>
      <c r="M40" s="722"/>
      <c r="N40" s="722"/>
      <c r="O40" s="722"/>
      <c r="P40" s="722"/>
      <c r="Q40" s="722"/>
      <c r="R40" s="722"/>
    </row>
    <row r="41" spans="1:18" ht="22.5" customHeight="1" x14ac:dyDescent="0.25">
      <c r="A41" s="955"/>
      <c r="B41" s="914" t="s">
        <v>378</v>
      </c>
      <c r="C41" s="226" t="s">
        <v>18</v>
      </c>
      <c r="D41" s="226">
        <v>3</v>
      </c>
      <c r="E41" s="281">
        <f t="shared" si="6"/>
        <v>321</v>
      </c>
      <c r="F41" s="725"/>
      <c r="G41" s="725"/>
      <c r="H41" s="280">
        <f>119-(2*4)-(2*VLOOKUP(C41,$O$5:$S$11,4,FALSE))</f>
        <v>101</v>
      </c>
      <c r="I41" s="750">
        <f>((80-3)-(VLOOKUP(C41,$O$5:$S$11,4,FALSE)))+30</f>
        <v>102</v>
      </c>
      <c r="J41" s="226">
        <f t="shared" si="3"/>
        <v>8</v>
      </c>
      <c r="K41" s="416">
        <f t="shared" si="4"/>
        <v>9.5914799999999989</v>
      </c>
      <c r="L41" s="723" t="s">
        <v>143</v>
      </c>
      <c r="M41" s="722"/>
      <c r="N41" s="722"/>
      <c r="O41" s="722"/>
      <c r="P41" s="722"/>
      <c r="Q41" s="722"/>
      <c r="R41" s="722"/>
    </row>
    <row r="42" spans="1:18" ht="22.5" customHeight="1" thickBot="1" x14ac:dyDescent="0.3">
      <c r="A42" s="1125"/>
      <c r="B42" s="906" t="s">
        <v>401</v>
      </c>
      <c r="C42" s="283" t="s">
        <v>18</v>
      </c>
      <c r="D42" s="283">
        <v>3</v>
      </c>
      <c r="E42" s="284">
        <f t="shared" si="6"/>
        <v>361</v>
      </c>
      <c r="F42" s="252"/>
      <c r="G42" s="252"/>
      <c r="H42" s="280">
        <f>119-(2*4)-(2*VLOOKUP(C42,$O$5:$S$11,4,FALSE))</f>
        <v>101</v>
      </c>
      <c r="I42" s="750">
        <f>((100-3)-(VLOOKUP(C42,$O$5:$S$11,4,FALSE)))+30</f>
        <v>122</v>
      </c>
      <c r="J42" s="226">
        <f t="shared" si="3"/>
        <v>8</v>
      </c>
      <c r="K42" s="416">
        <f t="shared" si="4"/>
        <v>10.78668</v>
      </c>
      <c r="L42" s="402" t="s">
        <v>143</v>
      </c>
      <c r="M42" s="20"/>
      <c r="N42" s="20"/>
      <c r="O42" s="20"/>
      <c r="P42" s="20"/>
      <c r="Q42" s="20"/>
      <c r="R42" s="20"/>
    </row>
    <row r="43" spans="1:18" ht="150" customHeight="1" x14ac:dyDescent="0.25">
      <c r="A43" s="1042" t="s">
        <v>321</v>
      </c>
      <c r="B43" s="911" t="s">
        <v>47</v>
      </c>
      <c r="C43" s="733" t="s">
        <v>18</v>
      </c>
      <c r="D43" s="733">
        <f>196*6</f>
        <v>1176</v>
      </c>
      <c r="E43" s="732">
        <f>((PI())*H43)+I43*2</f>
        <v>479.82297150257102</v>
      </c>
      <c r="F43" s="1123"/>
      <c r="G43" s="1123"/>
      <c r="H43" s="267">
        <f>150-(2*5)</f>
        <v>140</v>
      </c>
      <c r="I43" s="248">
        <v>20</v>
      </c>
      <c r="J43" s="248"/>
      <c r="K43" s="104">
        <f t="shared" si="4"/>
        <v>5620.1472722907538</v>
      </c>
      <c r="L43" s="410" t="s">
        <v>143</v>
      </c>
      <c r="M43" s="20"/>
      <c r="N43" s="20"/>
      <c r="R43" s="20"/>
    </row>
    <row r="44" spans="1:18" ht="66" customHeight="1" x14ac:dyDescent="0.25">
      <c r="A44" s="1043"/>
      <c r="B44" s="1083" t="s">
        <v>264</v>
      </c>
      <c r="C44" s="1086" t="s">
        <v>16</v>
      </c>
      <c r="D44" s="1086">
        <v>144</v>
      </c>
      <c r="E44" s="1089">
        <f>H44+(I44*2)+(2*J44)</f>
        <v>3148</v>
      </c>
      <c r="F44" s="401"/>
      <c r="G44" s="252"/>
      <c r="H44" s="1092">
        <f>(2950+50)-10-(2*VLOOKUP($C$43,$O$5:$S$11,4,FALSE))</f>
        <v>2980</v>
      </c>
      <c r="I44" s="1086">
        <v>70</v>
      </c>
      <c r="J44" s="1086">
        <f>VLOOKUP(C44,$O$5:$S$11,5,FALSE)</f>
        <v>14</v>
      </c>
      <c r="K44" s="1095">
        <f>(((E44)/100)*D44*VLOOKUP(C44,$O$5:$Q$11,3,FALSE))</f>
        <v>18087.148799999999</v>
      </c>
      <c r="L44" s="1098" t="s">
        <v>143</v>
      </c>
      <c r="M44" s="11"/>
      <c r="N44" s="20"/>
      <c r="R44" s="20"/>
    </row>
    <row r="45" spans="1:18" ht="66" customHeight="1" thickBot="1" x14ac:dyDescent="0.3">
      <c r="A45" s="1122"/>
      <c r="B45" s="1084"/>
      <c r="C45" s="1087"/>
      <c r="D45" s="1087"/>
      <c r="E45" s="1090"/>
      <c r="F45" s="401"/>
      <c r="G45" s="252"/>
      <c r="H45" s="1100"/>
      <c r="I45" s="1101"/>
      <c r="J45" s="1101"/>
      <c r="K45" s="1132"/>
      <c r="L45" s="1098"/>
      <c r="M45" s="11"/>
      <c r="N45" s="20"/>
      <c r="R45" s="20"/>
    </row>
    <row r="46" spans="1:18" ht="15.75" thickBot="1" x14ac:dyDescent="0.3">
      <c r="A46" s="1114"/>
      <c r="B46" s="1129"/>
      <c r="C46" s="1130"/>
      <c r="D46" s="1130"/>
      <c r="E46" s="1131"/>
      <c r="F46" s="333" t="s">
        <v>104</v>
      </c>
      <c r="G46" s="334"/>
      <c r="H46" s="335" t="s">
        <v>51</v>
      </c>
      <c r="I46" s="336"/>
      <c r="J46" s="428" t="s">
        <v>52</v>
      </c>
      <c r="K46" s="338"/>
    </row>
    <row r="47" spans="1:18" x14ac:dyDescent="0.25">
      <c r="A47" s="1115"/>
      <c r="B47" s="962"/>
      <c r="C47" s="963"/>
      <c r="D47" s="963"/>
      <c r="E47" s="963"/>
      <c r="F47" s="187" t="s">
        <v>80</v>
      </c>
      <c r="G47" s="188"/>
      <c r="H47" s="189"/>
      <c r="I47" s="190"/>
      <c r="J47" s="118"/>
      <c r="K47" s="119"/>
    </row>
    <row r="48" spans="1:18" ht="15.75" thickBot="1" x14ac:dyDescent="0.3">
      <c r="A48" s="1115"/>
      <c r="B48" s="928"/>
      <c r="C48" s="929"/>
      <c r="D48" s="929"/>
      <c r="E48" s="929"/>
      <c r="F48" s="201" t="s">
        <v>455</v>
      </c>
      <c r="G48" s="202"/>
      <c r="H48" s="199" t="s">
        <v>30</v>
      </c>
      <c r="I48" s="200"/>
      <c r="J48" s="652">
        <f>SUM(K43:K45)</f>
        <v>23707.296072290752</v>
      </c>
      <c r="K48" s="653"/>
      <c r="L48" s="92" t="s">
        <v>143</v>
      </c>
    </row>
    <row r="49" spans="1:15" x14ac:dyDescent="0.25">
      <c r="A49" s="1115"/>
      <c r="B49" s="928"/>
      <c r="C49" s="929"/>
      <c r="D49" s="929"/>
      <c r="E49" s="929"/>
      <c r="F49" s="201" t="s">
        <v>103</v>
      </c>
      <c r="G49" s="202"/>
      <c r="H49" s="199" t="s">
        <v>30</v>
      </c>
      <c r="I49" s="200"/>
      <c r="J49" s="652">
        <f>SUM(K4:K25)</f>
        <v>7667.2874567999997</v>
      </c>
      <c r="K49" s="653"/>
      <c r="L49" s="92" t="s">
        <v>143</v>
      </c>
      <c r="M49" s="5" t="s">
        <v>186</v>
      </c>
      <c r="N49" s="6"/>
      <c r="O49" s="7"/>
    </row>
    <row r="50" spans="1:15" x14ac:dyDescent="0.25">
      <c r="A50" s="1115"/>
      <c r="B50" s="928"/>
      <c r="C50" s="929"/>
      <c r="D50" s="929"/>
      <c r="E50" s="929"/>
      <c r="F50" s="201" t="s">
        <v>450</v>
      </c>
      <c r="G50" s="202"/>
      <c r="H50" s="199" t="s">
        <v>30</v>
      </c>
      <c r="I50" s="200"/>
      <c r="J50" s="652">
        <f>SUM(K26:K42)</f>
        <v>529.93176000000005</v>
      </c>
      <c r="K50" s="653"/>
      <c r="L50" s="92" t="s">
        <v>143</v>
      </c>
      <c r="M50" s="54"/>
      <c r="N50" s="2"/>
      <c r="O50" s="50"/>
    </row>
    <row r="51" spans="1:15" x14ac:dyDescent="0.25">
      <c r="A51" s="1115"/>
      <c r="B51" s="964"/>
      <c r="C51" s="965"/>
      <c r="D51" s="965"/>
      <c r="E51" s="965"/>
      <c r="F51" s="203" t="s">
        <v>114</v>
      </c>
      <c r="G51" s="204"/>
      <c r="H51" s="199"/>
      <c r="I51" s="200"/>
      <c r="J51" s="403"/>
      <c r="K51" s="404"/>
      <c r="M51" s="4" t="s">
        <v>184</v>
      </c>
      <c r="N51" s="1"/>
      <c r="O51" s="135">
        <f>J49+J50</f>
        <v>8197.2192168000001</v>
      </c>
    </row>
    <row r="52" spans="1:15" x14ac:dyDescent="0.25">
      <c r="A52" s="1115"/>
      <c r="B52" s="928"/>
      <c r="C52" s="929"/>
      <c r="D52" s="929"/>
      <c r="E52" s="929"/>
      <c r="F52" s="201" t="s">
        <v>458</v>
      </c>
      <c r="G52" s="202"/>
      <c r="H52" s="199" t="s">
        <v>29</v>
      </c>
      <c r="I52" s="200"/>
      <c r="J52" s="652">
        <f>G68</f>
        <v>312.78481857303376</v>
      </c>
      <c r="K52" s="653"/>
      <c r="L52" s="92" t="s">
        <v>143</v>
      </c>
      <c r="M52" s="4" t="s">
        <v>182</v>
      </c>
      <c r="N52" s="1"/>
      <c r="O52" s="135">
        <f>J48</f>
        <v>23707.296072290752</v>
      </c>
    </row>
    <row r="53" spans="1:15" x14ac:dyDescent="0.25">
      <c r="A53" s="1115"/>
      <c r="B53" s="928"/>
      <c r="C53" s="929"/>
      <c r="D53" s="929"/>
      <c r="E53" s="929"/>
      <c r="F53" s="201" t="s">
        <v>103</v>
      </c>
      <c r="G53" s="202"/>
      <c r="H53" s="199" t="s">
        <v>29</v>
      </c>
      <c r="I53" s="200"/>
      <c r="J53" s="652">
        <f>G73</f>
        <v>58.683409999999995</v>
      </c>
      <c r="K53" s="653"/>
      <c r="L53" s="92" t="s">
        <v>143</v>
      </c>
      <c r="M53" s="54"/>
      <c r="N53" s="2"/>
      <c r="O53" s="50"/>
    </row>
    <row r="54" spans="1:15" x14ac:dyDescent="0.25">
      <c r="A54" s="1115"/>
      <c r="B54" s="928"/>
      <c r="C54" s="929"/>
      <c r="D54" s="929"/>
      <c r="E54" s="929"/>
      <c r="F54" s="201" t="s">
        <v>454</v>
      </c>
      <c r="G54" s="202"/>
      <c r="H54" s="199" t="s">
        <v>29</v>
      </c>
      <c r="I54" s="200"/>
      <c r="J54" s="652">
        <f>F86</f>
        <v>3.4147679999999996</v>
      </c>
      <c r="K54" s="653"/>
      <c r="L54" s="92" t="s">
        <v>143</v>
      </c>
      <c r="M54" s="4" t="s">
        <v>185</v>
      </c>
      <c r="N54" s="1"/>
      <c r="O54" s="135">
        <f>J53+J54</f>
        <v>62.098177999999997</v>
      </c>
    </row>
    <row r="55" spans="1:15" ht="15.75" thickBot="1" x14ac:dyDescent="0.3">
      <c r="A55" s="1116"/>
      <c r="B55" s="956"/>
      <c r="C55" s="957"/>
      <c r="D55" s="957"/>
      <c r="E55" s="957"/>
      <c r="F55" s="666" t="s">
        <v>105</v>
      </c>
      <c r="G55" s="196"/>
      <c r="H55" s="197" t="s">
        <v>29</v>
      </c>
      <c r="I55" s="198"/>
      <c r="J55" s="1260">
        <f>G69</f>
        <v>265.23092327472676</v>
      </c>
      <c r="K55" s="1261"/>
      <c r="L55" s="92" t="s">
        <v>143</v>
      </c>
      <c r="M55" s="136" t="s">
        <v>183</v>
      </c>
      <c r="N55" s="138"/>
      <c r="O55" s="137">
        <f>J52</f>
        <v>312.78481857303376</v>
      </c>
    </row>
    <row r="58" spans="1:15" ht="15.75" thickBot="1" x14ac:dyDescent="0.3">
      <c r="F58" s="2"/>
      <c r="G58" s="2"/>
    </row>
    <row r="59" spans="1:15" ht="15.75" thickBot="1" x14ac:dyDescent="0.3">
      <c r="F59" s="958" t="s">
        <v>126</v>
      </c>
      <c r="G59" s="958"/>
      <c r="H59" s="959" t="s">
        <v>29</v>
      </c>
      <c r="I59" s="960"/>
      <c r="J59" s="933">
        <f>(J48+J49+J50)/J60</f>
        <v>4.06426946357844</v>
      </c>
      <c r="K59" s="934"/>
    </row>
    <row r="60" spans="1:15" ht="15.75" thickBot="1" x14ac:dyDescent="0.3">
      <c r="F60" s="961" t="s">
        <v>127</v>
      </c>
      <c r="G60" s="961"/>
      <c r="H60" s="931" t="s">
        <v>128</v>
      </c>
      <c r="I60" s="932"/>
      <c r="J60" s="933">
        <v>7850</v>
      </c>
      <c r="K60" s="934"/>
    </row>
    <row r="61" spans="1:15" ht="15.75" thickBot="1" x14ac:dyDescent="0.3">
      <c r="F61" s="961" t="s">
        <v>134</v>
      </c>
      <c r="G61" s="958"/>
      <c r="H61" s="959" t="s">
        <v>29</v>
      </c>
      <c r="I61" s="960"/>
      <c r="J61" s="933">
        <f>(J52+J53+J54)-J59</f>
        <v>370.81872710945527</v>
      </c>
      <c r="K61" s="934"/>
    </row>
    <row r="62" spans="1:15" x14ac:dyDescent="0.25">
      <c r="K62" s="100"/>
    </row>
    <row r="67" spans="2:11" x14ac:dyDescent="0.25">
      <c r="B67" s="1"/>
      <c r="C67" s="1" t="s">
        <v>169</v>
      </c>
      <c r="D67" s="1" t="s">
        <v>40</v>
      </c>
      <c r="E67" s="1" t="s">
        <v>39</v>
      </c>
      <c r="F67" s="1" t="s">
        <v>168</v>
      </c>
      <c r="G67" s="205" t="str">
        <f>CONCATENATE(H67," pilas")</f>
        <v>6 pilas</v>
      </c>
      <c r="H67">
        <v>6</v>
      </c>
      <c r="I67" t="s">
        <v>246</v>
      </c>
      <c r="J67" t="s">
        <v>307</v>
      </c>
      <c r="K67" t="s">
        <v>310</v>
      </c>
    </row>
    <row r="68" spans="2:11" x14ac:dyDescent="0.25">
      <c r="B68" s="1" t="s">
        <v>147</v>
      </c>
      <c r="C68" s="340">
        <v>0.75</v>
      </c>
      <c r="D68" s="340">
        <f>PI()*(C68^2)</f>
        <v>1.7671458676442586</v>
      </c>
      <c r="E68" s="341">
        <v>29.5</v>
      </c>
      <c r="F68" s="341">
        <f>D68*E68</f>
        <v>52.130803095505627</v>
      </c>
      <c r="G68" s="340">
        <f>F68*H67</f>
        <v>312.78481857303376</v>
      </c>
      <c r="H68" s="92" t="s">
        <v>143</v>
      </c>
    </row>
    <row r="69" spans="2:11" x14ac:dyDescent="0.25">
      <c r="B69" s="1" t="s">
        <v>148</v>
      </c>
      <c r="C69" s="340">
        <v>0.75</v>
      </c>
      <c r="D69" s="340">
        <f>PI()*(C69^2)</f>
        <v>1.7671458676442586</v>
      </c>
      <c r="E69" s="340">
        <f>(26.01+24.02)/2</f>
        <v>25.015000000000001</v>
      </c>
      <c r="F69" s="341">
        <f>D69*E69</f>
        <v>44.205153879121127</v>
      </c>
      <c r="G69" s="340">
        <f>F69*H67</f>
        <v>265.23092327472676</v>
      </c>
      <c r="H69" s="92" t="s">
        <v>143</v>
      </c>
      <c r="J69">
        <f>H67*E69</f>
        <v>150.09</v>
      </c>
      <c r="K69">
        <f>(E68-E69)*H67</f>
        <v>26.909999999999997</v>
      </c>
    </row>
    <row r="70" spans="2:11" x14ac:dyDescent="0.25">
      <c r="B70" s="1"/>
      <c r="C70" s="1"/>
      <c r="D70" s="1"/>
      <c r="E70" s="1"/>
      <c r="F70" s="1"/>
      <c r="G70" s="1"/>
    </row>
    <row r="72" spans="2:11" ht="22.5" customHeight="1" thickBot="1" x14ac:dyDescent="0.3">
      <c r="B72" s="1000"/>
      <c r="C72" s="1000"/>
      <c r="D72" s="319" t="s">
        <v>40</v>
      </c>
      <c r="E72" s="319" t="s">
        <v>42</v>
      </c>
      <c r="F72" s="319" t="s">
        <v>319</v>
      </c>
    </row>
    <row r="73" spans="2:11" ht="22.5" customHeight="1" x14ac:dyDescent="0.25">
      <c r="B73" s="935" t="s">
        <v>322</v>
      </c>
      <c r="C73" s="936"/>
      <c r="D73" s="320">
        <f>1.5*1.2</f>
        <v>1.7999999999999998</v>
      </c>
      <c r="E73" s="320">
        <v>11.1044</v>
      </c>
      <c r="F73" s="313">
        <f t="shared" ref="F73:F82" si="7">D73*E73</f>
        <v>19.987919999999999</v>
      </c>
      <c r="G73" s="343">
        <f>SUM(F73:F78)</f>
        <v>58.683409999999995</v>
      </c>
      <c r="H73" s="426" t="s">
        <v>43</v>
      </c>
    </row>
    <row r="74" spans="2:11" ht="22.5" customHeight="1" thickBot="1" x14ac:dyDescent="0.3">
      <c r="B74" s="937" t="s">
        <v>323</v>
      </c>
      <c r="C74" s="938"/>
      <c r="D74" s="321">
        <v>1.8</v>
      </c>
      <c r="E74" s="321">
        <v>11.140599999999999</v>
      </c>
      <c r="F74" s="314">
        <f t="shared" si="7"/>
        <v>20.053079999999998</v>
      </c>
      <c r="H74" s="426" t="s">
        <v>43</v>
      </c>
    </row>
    <row r="75" spans="2:11" ht="22.5" customHeight="1" x14ac:dyDescent="0.25">
      <c r="B75" s="984" t="s">
        <v>324</v>
      </c>
      <c r="C75" s="984"/>
      <c r="D75" s="315">
        <v>27.7651</v>
      </c>
      <c r="E75" s="315">
        <v>0.31</v>
      </c>
      <c r="F75" s="915">
        <f t="shared" si="7"/>
        <v>8.6071810000000006</v>
      </c>
      <c r="G75" s="426" t="s">
        <v>143</v>
      </c>
    </row>
    <row r="76" spans="2:11" ht="22.5" customHeight="1" x14ac:dyDescent="0.25">
      <c r="B76" s="985" t="s">
        <v>328</v>
      </c>
      <c r="C76" s="985"/>
      <c r="D76" s="310">
        <v>25.195900000000002</v>
      </c>
      <c r="E76" s="310">
        <v>0.31</v>
      </c>
      <c r="F76" s="915">
        <f t="shared" si="7"/>
        <v>7.8107290000000003</v>
      </c>
      <c r="G76" s="426" t="s">
        <v>143</v>
      </c>
    </row>
    <row r="77" spans="2:11" ht="22.5" customHeight="1" x14ac:dyDescent="0.25">
      <c r="B77" s="988" t="s">
        <v>325</v>
      </c>
      <c r="C77" s="989"/>
      <c r="D77" s="317">
        <v>0.1</v>
      </c>
      <c r="E77" s="317">
        <v>11.1044</v>
      </c>
      <c r="F77" s="916">
        <f t="shared" si="7"/>
        <v>1.1104400000000001</v>
      </c>
      <c r="G77" s="426" t="s">
        <v>143</v>
      </c>
    </row>
    <row r="78" spans="2:11" ht="22.5" customHeight="1" x14ac:dyDescent="0.25">
      <c r="B78" s="986" t="s">
        <v>329</v>
      </c>
      <c r="C78" s="987"/>
      <c r="D78" s="310">
        <v>0.1</v>
      </c>
      <c r="E78" s="310">
        <v>11.140599999999999</v>
      </c>
      <c r="F78" s="916">
        <f t="shared" si="7"/>
        <v>1.1140600000000001</v>
      </c>
      <c r="G78" s="426" t="s">
        <v>143</v>
      </c>
    </row>
    <row r="79" spans="2:11" ht="22.5" customHeight="1" x14ac:dyDescent="0.25">
      <c r="B79" s="988" t="s">
        <v>326</v>
      </c>
      <c r="C79" s="989"/>
      <c r="D79" s="317">
        <v>0.50049999999999994</v>
      </c>
      <c r="E79" s="317">
        <v>1</v>
      </c>
      <c r="F79" s="318">
        <f t="shared" si="7"/>
        <v>0.50049999999999994</v>
      </c>
      <c r="G79" s="92" t="s">
        <v>143</v>
      </c>
    </row>
    <row r="80" spans="2:11" ht="22.5" customHeight="1" x14ac:dyDescent="0.25">
      <c r="B80" s="986" t="s">
        <v>327</v>
      </c>
      <c r="C80" s="987"/>
      <c r="D80" s="310">
        <v>0.34229999999999999</v>
      </c>
      <c r="E80" s="310">
        <v>0.8</v>
      </c>
      <c r="F80" s="318">
        <f t="shared" si="7"/>
        <v>0.27384000000000003</v>
      </c>
      <c r="G80" s="92" t="s">
        <v>143</v>
      </c>
    </row>
    <row r="81" spans="2:10" ht="22.5" customHeight="1" x14ac:dyDescent="0.25">
      <c r="B81" s="988" t="s">
        <v>330</v>
      </c>
      <c r="C81" s="989"/>
      <c r="D81" s="317">
        <v>0.50049999999999994</v>
      </c>
      <c r="E81" s="317">
        <v>0.8</v>
      </c>
      <c r="F81" s="318">
        <f t="shared" si="7"/>
        <v>0.40039999999999998</v>
      </c>
      <c r="G81" s="92" t="s">
        <v>143</v>
      </c>
      <c r="J81">
        <f>0.79*0.7</f>
        <v>0.55299999999999994</v>
      </c>
    </row>
    <row r="82" spans="2:10" ht="22.5" customHeight="1" x14ac:dyDescent="0.25">
      <c r="B82" s="986" t="s">
        <v>331</v>
      </c>
      <c r="C82" s="987"/>
      <c r="D82" s="310">
        <v>0.50049999999999994</v>
      </c>
      <c r="E82" s="310">
        <v>0.6</v>
      </c>
      <c r="F82" s="318">
        <f t="shared" si="7"/>
        <v>0.30029999999999996</v>
      </c>
      <c r="G82" s="92" t="s">
        <v>143</v>
      </c>
    </row>
    <row r="83" spans="2:10" ht="22.5" customHeight="1" x14ac:dyDescent="0.25">
      <c r="B83" s="1001" t="s">
        <v>396</v>
      </c>
      <c r="C83" s="1001"/>
      <c r="D83" s="317">
        <v>0.55200000000000005</v>
      </c>
      <c r="E83" s="317">
        <f>((51.9+49.4+46.8+44.3+41.7+36.9+30.2+23.5+16.7+10)/10)/100</f>
        <v>0.35139999999999993</v>
      </c>
      <c r="F83" s="318">
        <f>D83*E83*J83</f>
        <v>1.9397279999999997</v>
      </c>
      <c r="G83" s="92" t="s">
        <v>143</v>
      </c>
      <c r="H83" t="s">
        <v>279</v>
      </c>
      <c r="J83" s="584">
        <v>10</v>
      </c>
    </row>
    <row r="84" spans="2:10" ht="22.5" customHeight="1" x14ac:dyDescent="0.25">
      <c r="B84" s="1117" t="s">
        <v>144</v>
      </c>
      <c r="C84" s="1117"/>
      <c r="D84" s="310">
        <v>0</v>
      </c>
      <c r="E84" s="310">
        <v>0</v>
      </c>
      <c r="F84" s="318">
        <f>(D84*E84)*2</f>
        <v>0</v>
      </c>
      <c r="G84" s="92"/>
    </row>
    <row r="85" spans="2:10" ht="22.5" customHeight="1" x14ac:dyDescent="0.25">
      <c r="B85" s="988" t="s">
        <v>317</v>
      </c>
      <c r="C85" s="989"/>
      <c r="D85" s="317">
        <v>0</v>
      </c>
      <c r="E85" s="317">
        <v>0</v>
      </c>
      <c r="F85" s="318">
        <f>(D85*E85)*2</f>
        <v>0</v>
      </c>
      <c r="G85" s="92"/>
    </row>
    <row r="86" spans="2:10" ht="22.5" customHeight="1" x14ac:dyDescent="0.25">
      <c r="B86" s="1002" t="s">
        <v>152</v>
      </c>
      <c r="C86" s="1003"/>
      <c r="D86" s="1003"/>
      <c r="E86" s="1004"/>
      <c r="F86" s="304">
        <f>SUM(F79:F85)</f>
        <v>3.4147679999999996</v>
      </c>
      <c r="G86" s="92"/>
    </row>
    <row r="88" spans="2:10" x14ac:dyDescent="0.25">
      <c r="G88" t="s">
        <v>150</v>
      </c>
    </row>
    <row r="89" spans="2:10" x14ac:dyDescent="0.25">
      <c r="B89" s="996" t="s">
        <v>175</v>
      </c>
      <c r="C89" s="996"/>
      <c r="D89" s="1" t="s">
        <v>40</v>
      </c>
      <c r="E89" s="1" t="s">
        <v>39</v>
      </c>
      <c r="F89" s="1" t="s">
        <v>85</v>
      </c>
      <c r="G89" s="1" t="s">
        <v>149</v>
      </c>
      <c r="H89" s="1" t="str">
        <f>CONCATENATE(I89," pzas")</f>
        <v>10 pzas</v>
      </c>
      <c r="I89">
        <v>10</v>
      </c>
      <c r="J89" t="s">
        <v>247</v>
      </c>
    </row>
    <row r="90" spans="2:10" x14ac:dyDescent="0.25">
      <c r="B90" s="996" t="s">
        <v>265</v>
      </c>
      <c r="C90" s="996"/>
      <c r="D90" s="1">
        <f>0.4*0.4</f>
        <v>0.16000000000000003</v>
      </c>
      <c r="E90" s="1">
        <v>7.2999999999999995E-2</v>
      </c>
      <c r="F90" s="74">
        <f>D90*E90</f>
        <v>1.1680000000000001E-2</v>
      </c>
      <c r="G90" s="75">
        <f>F90*1000</f>
        <v>11.680000000000001</v>
      </c>
      <c r="H90" s="1">
        <f>G90*I89</f>
        <v>116.80000000000001</v>
      </c>
      <c r="I90" s="92" t="s">
        <v>143</v>
      </c>
    </row>
    <row r="91" spans="2:10" x14ac:dyDescent="0.25">
      <c r="B91" s="996" t="s">
        <v>86</v>
      </c>
      <c r="C91" s="996"/>
      <c r="D91" s="1">
        <f>0.4*0.4</f>
        <v>0.16000000000000003</v>
      </c>
      <c r="E91" s="76">
        <v>1.2E-2</v>
      </c>
      <c r="F91" s="77">
        <f>D91*E91</f>
        <v>1.9200000000000005E-3</v>
      </c>
      <c r="G91" s="75">
        <f>(F91*7850)*5</f>
        <v>75.360000000000028</v>
      </c>
      <c r="H91" s="1">
        <f>G91*I89</f>
        <v>753.60000000000025</v>
      </c>
      <c r="I91" s="92" t="s">
        <v>143</v>
      </c>
    </row>
    <row r="92" spans="2:10" x14ac:dyDescent="0.25">
      <c r="I92" s="92"/>
    </row>
    <row r="93" spans="2:10" x14ac:dyDescent="0.25">
      <c r="I93" s="92"/>
    </row>
    <row r="94" spans="2:10" x14ac:dyDescent="0.25">
      <c r="B94" s="996" t="s">
        <v>178</v>
      </c>
      <c r="C94" s="996"/>
      <c r="D94" s="1" t="s">
        <v>40</v>
      </c>
      <c r="E94" s="1" t="s">
        <v>39</v>
      </c>
      <c r="F94" s="1" t="s">
        <v>173</v>
      </c>
      <c r="G94" s="1" t="s">
        <v>149</v>
      </c>
      <c r="H94" s="1" t="s">
        <v>405</v>
      </c>
      <c r="I94" s="92"/>
    </row>
    <row r="95" spans="2:10" x14ac:dyDescent="0.25">
      <c r="B95" s="996" t="s">
        <v>176</v>
      </c>
      <c r="C95" s="996"/>
      <c r="D95" s="1">
        <f>0.3*0.35</f>
        <v>0.105</v>
      </c>
      <c r="E95" s="1">
        <v>2.5000000000000001E-2</v>
      </c>
      <c r="F95" s="74">
        <f>D95*E95</f>
        <v>2.6250000000000002E-3</v>
      </c>
      <c r="G95" s="75">
        <f>F95*1000</f>
        <v>2.625</v>
      </c>
      <c r="H95" s="1">
        <f>G95*4</f>
        <v>10.5</v>
      </c>
      <c r="I95" s="92" t="s">
        <v>43</v>
      </c>
    </row>
    <row r="96" spans="2:10" x14ac:dyDescent="0.25">
      <c r="B96" s="996" t="s">
        <v>174</v>
      </c>
      <c r="C96" s="996"/>
      <c r="D96" s="1">
        <f>0.3*0.35</f>
        <v>0.105</v>
      </c>
      <c r="E96" s="76">
        <v>1.2999999999999999E-2</v>
      </c>
      <c r="F96" s="77">
        <f>D96*E96</f>
        <v>1.3649999999999999E-3</v>
      </c>
      <c r="G96" s="75">
        <f>(F96*7850)*2</f>
        <v>21.430499999999999</v>
      </c>
      <c r="H96" s="1">
        <f>G96*4</f>
        <v>85.721999999999994</v>
      </c>
      <c r="I96" s="92" t="s">
        <v>43</v>
      </c>
    </row>
    <row r="98" spans="6:8" x14ac:dyDescent="0.25">
      <c r="F98" t="s">
        <v>179</v>
      </c>
      <c r="H98">
        <f>H95+H90</f>
        <v>127.30000000000001</v>
      </c>
    </row>
  </sheetData>
  <mergeCells count="82">
    <mergeCell ref="D24:D25"/>
    <mergeCell ref="E44:E45"/>
    <mergeCell ref="H44:H45"/>
    <mergeCell ref="F32:G32"/>
    <mergeCell ref="B54:E54"/>
    <mergeCell ref="H24:H25"/>
    <mergeCell ref="K24:K25"/>
    <mergeCell ref="L44:L45"/>
    <mergeCell ref="B46:E46"/>
    <mergeCell ref="B44:B45"/>
    <mergeCell ref="I44:I45"/>
    <mergeCell ref="J44:J45"/>
    <mergeCell ref="K44:K45"/>
    <mergeCell ref="C44:C45"/>
    <mergeCell ref="D44:D45"/>
    <mergeCell ref="L24:L25"/>
    <mergeCell ref="A1:K1"/>
    <mergeCell ref="F3:G3"/>
    <mergeCell ref="A4:A11"/>
    <mergeCell ref="F4:G5"/>
    <mergeCell ref="A12:A25"/>
    <mergeCell ref="F24:G25"/>
    <mergeCell ref="B24:B25"/>
    <mergeCell ref="J24:J25"/>
    <mergeCell ref="I24:I25"/>
    <mergeCell ref="F12:F13"/>
    <mergeCell ref="F18:F21"/>
    <mergeCell ref="C20:E20"/>
    <mergeCell ref="B18:B20"/>
    <mergeCell ref="B21:B23"/>
    <mergeCell ref="E24:E25"/>
    <mergeCell ref="C24:C25"/>
    <mergeCell ref="C23:E23"/>
    <mergeCell ref="H59:I59"/>
    <mergeCell ref="J59:K59"/>
    <mergeCell ref="B49:E49"/>
    <mergeCell ref="B50:E50"/>
    <mergeCell ref="B51:E51"/>
    <mergeCell ref="B52:E52"/>
    <mergeCell ref="B53:E53"/>
    <mergeCell ref="F35:G35"/>
    <mergeCell ref="F43:G43"/>
    <mergeCell ref="B47:E47"/>
    <mergeCell ref="B48:E48"/>
    <mergeCell ref="H60:I60"/>
    <mergeCell ref="J60:K60"/>
    <mergeCell ref="B75:C75"/>
    <mergeCell ref="H61:I61"/>
    <mergeCell ref="J61:K61"/>
    <mergeCell ref="B79:C79"/>
    <mergeCell ref="B80:C80"/>
    <mergeCell ref="B55:E55"/>
    <mergeCell ref="F59:G59"/>
    <mergeCell ref="B72:C72"/>
    <mergeCell ref="B73:C73"/>
    <mergeCell ref="B74:C74"/>
    <mergeCell ref="F60:G60"/>
    <mergeCell ref="B95:C95"/>
    <mergeCell ref="B96:C96"/>
    <mergeCell ref="F61:G61"/>
    <mergeCell ref="B84:C84"/>
    <mergeCell ref="B85:C85"/>
    <mergeCell ref="B86:E86"/>
    <mergeCell ref="B77:C77"/>
    <mergeCell ref="B78:C78"/>
    <mergeCell ref="B81:C81"/>
    <mergeCell ref="B82:C82"/>
    <mergeCell ref="B91:C91"/>
    <mergeCell ref="B94:C94"/>
    <mergeCell ref="B83:C83"/>
    <mergeCell ref="B89:C89"/>
    <mergeCell ref="B90:C90"/>
    <mergeCell ref="B76:C76"/>
    <mergeCell ref="A46:A55"/>
    <mergeCell ref="F26:G31"/>
    <mergeCell ref="C31:E31"/>
    <mergeCell ref="C28:E28"/>
    <mergeCell ref="B26:B28"/>
    <mergeCell ref="B29:B31"/>
    <mergeCell ref="A26:A32"/>
    <mergeCell ref="A43:A45"/>
    <mergeCell ref="A33:A42"/>
  </mergeCells>
  <pageMargins left="0.7" right="0.7" top="0.75" bottom="0.75" header="0.3" footer="0.3"/>
  <pageSetup orientation="portrait" r:id="rId1"/>
  <ignoredErrors>
    <ignoredError sqref="I36" formula="1"/>
  </ignoredErrors>
  <drawing r:id="rId2"/>
  <legacyDrawing r:id="rId3"/>
  <oleObjects>
    <mc:AlternateContent xmlns:mc="http://schemas.openxmlformats.org/markup-compatibility/2006">
      <mc:Choice Requires="x14">
        <oleObject progId="AutoCAD.Drawing.19" shapeId="100353" r:id="rId4">
          <objectPr defaultSize="0" autoPict="0" r:id="rId5">
            <anchor moveWithCells="1">
              <from>
                <xdr:col>5</xdr:col>
                <xdr:colOff>295275</xdr:colOff>
                <xdr:row>43</xdr:row>
                <xdr:rowOff>142875</xdr:rowOff>
              </from>
              <to>
                <xdr:col>6</xdr:col>
                <xdr:colOff>333375</xdr:colOff>
                <xdr:row>44</xdr:row>
                <xdr:rowOff>619125</xdr:rowOff>
              </to>
            </anchor>
          </objectPr>
        </oleObject>
      </mc:Choice>
      <mc:Fallback>
        <oleObject progId="AutoCAD.Drawing.19" shapeId="100353" r:id="rId4"/>
      </mc:Fallback>
    </mc:AlternateContent>
    <mc:AlternateContent xmlns:mc="http://schemas.openxmlformats.org/markup-compatibility/2006">
      <mc:Choice Requires="x14">
        <oleObject progId="AutoCAD.Drawing.19" shapeId="100354" r:id="rId6">
          <objectPr defaultSize="0" autoPict="0" r:id="rId7">
            <anchor moveWithCells="1">
              <from>
                <xdr:col>5</xdr:col>
                <xdr:colOff>723900</xdr:colOff>
                <xdr:row>42</xdr:row>
                <xdr:rowOff>38100</xdr:rowOff>
              </from>
              <to>
                <xdr:col>6</xdr:col>
                <xdr:colOff>28575</xdr:colOff>
                <xdr:row>42</xdr:row>
                <xdr:rowOff>1895475</xdr:rowOff>
              </to>
            </anchor>
          </objectPr>
        </oleObject>
      </mc:Choice>
      <mc:Fallback>
        <oleObject progId="AutoCAD.Drawing.19" shapeId="100354" r:id="rId6"/>
      </mc:Fallback>
    </mc:AlternateContent>
    <mc:AlternateContent xmlns:mc="http://schemas.openxmlformats.org/markup-compatibility/2006">
      <mc:Choice Requires="x14">
        <oleObject progId="AutoCAD.Drawing.19" shapeId="100355" r:id="rId8">
          <objectPr defaultSize="0" autoPict="0" r:id="rId5">
            <anchor moveWithCells="1">
              <from>
                <xdr:col>5</xdr:col>
                <xdr:colOff>247650</xdr:colOff>
                <xdr:row>3</xdr:row>
                <xdr:rowOff>209550</xdr:rowOff>
              </from>
              <to>
                <xdr:col>6</xdr:col>
                <xdr:colOff>276225</xdr:colOff>
                <xdr:row>6</xdr:row>
                <xdr:rowOff>276225</xdr:rowOff>
              </to>
            </anchor>
          </objectPr>
        </oleObject>
      </mc:Choice>
      <mc:Fallback>
        <oleObject progId="AutoCAD.Drawing.19" shapeId="100355" r:id="rId8"/>
      </mc:Fallback>
    </mc:AlternateContent>
    <mc:AlternateContent xmlns:mc="http://schemas.openxmlformats.org/markup-compatibility/2006">
      <mc:Choice Requires="x14">
        <oleObject progId="AutoCAD.Drawing.19" shapeId="100356" r:id="rId9">
          <objectPr defaultSize="0" autoPict="0" r:id="rId10">
            <anchor moveWithCells="1">
              <from>
                <xdr:col>5</xdr:col>
                <xdr:colOff>638175</xdr:colOff>
                <xdr:row>6</xdr:row>
                <xdr:rowOff>276225</xdr:rowOff>
              </from>
              <to>
                <xdr:col>5</xdr:col>
                <xdr:colOff>2733675</xdr:colOff>
                <xdr:row>11</xdr:row>
                <xdr:rowOff>47625</xdr:rowOff>
              </to>
            </anchor>
          </objectPr>
        </oleObject>
      </mc:Choice>
      <mc:Fallback>
        <oleObject progId="AutoCAD.Drawing.19" shapeId="100356" r:id="rId9"/>
      </mc:Fallback>
    </mc:AlternateContent>
    <mc:AlternateContent xmlns:mc="http://schemas.openxmlformats.org/markup-compatibility/2006">
      <mc:Choice Requires="x14">
        <oleObject progId="AutoCAD.Drawing.19" shapeId="100358" r:id="rId11">
          <objectPr defaultSize="0" autoPict="0" r:id="rId5">
            <anchor moveWithCells="1">
              <from>
                <xdr:col>5</xdr:col>
                <xdr:colOff>285750</xdr:colOff>
                <xdr:row>26</xdr:row>
                <xdr:rowOff>76200</xdr:rowOff>
              </from>
              <to>
                <xdr:col>6</xdr:col>
                <xdr:colOff>314325</xdr:colOff>
                <xdr:row>30</xdr:row>
                <xdr:rowOff>38100</xdr:rowOff>
              </to>
            </anchor>
          </objectPr>
        </oleObject>
      </mc:Choice>
      <mc:Fallback>
        <oleObject progId="AutoCAD.Drawing.19" shapeId="100358" r:id="rId11"/>
      </mc:Fallback>
    </mc:AlternateContent>
    <mc:AlternateContent xmlns:mc="http://schemas.openxmlformats.org/markup-compatibility/2006">
      <mc:Choice Requires="x14">
        <oleObject progId="AutoCAD.Drawing.19" shapeId="100359" r:id="rId12">
          <objectPr defaultSize="0" autoPict="0" r:id="rId10">
            <anchor moveWithCells="1">
              <from>
                <xdr:col>5</xdr:col>
                <xdr:colOff>733425</xdr:colOff>
                <xdr:row>31</xdr:row>
                <xdr:rowOff>38100</xdr:rowOff>
              </from>
              <to>
                <xdr:col>5</xdr:col>
                <xdr:colOff>2819400</xdr:colOff>
                <xdr:row>31</xdr:row>
                <xdr:rowOff>1371600</xdr:rowOff>
              </to>
            </anchor>
          </objectPr>
        </oleObject>
      </mc:Choice>
      <mc:Fallback>
        <oleObject progId="AutoCAD.Drawing.19" shapeId="100359" r:id="rId12"/>
      </mc:Fallback>
    </mc:AlternateContent>
    <mc:AlternateContent xmlns:mc="http://schemas.openxmlformats.org/markup-compatibility/2006">
      <mc:Choice Requires="x14">
        <oleObject progId="AutoCAD.Drawing.19" shapeId="100360" r:id="rId13">
          <objectPr defaultSize="0" autoPict="0" r:id="rId5">
            <anchor moveWithCells="1">
              <from>
                <xdr:col>5</xdr:col>
                <xdr:colOff>266700</xdr:colOff>
                <xdr:row>35</xdr:row>
                <xdr:rowOff>76200</xdr:rowOff>
              </from>
              <to>
                <xdr:col>6</xdr:col>
                <xdr:colOff>295275</xdr:colOff>
                <xdr:row>40</xdr:row>
                <xdr:rowOff>57150</xdr:rowOff>
              </to>
            </anchor>
          </objectPr>
        </oleObject>
      </mc:Choice>
      <mc:Fallback>
        <oleObject progId="AutoCAD.Drawing.19" shapeId="100360" r:id="rId13"/>
      </mc:Fallback>
    </mc:AlternateContent>
    <mc:AlternateContent xmlns:mc="http://schemas.openxmlformats.org/markup-compatibility/2006">
      <mc:Choice Requires="x14">
        <oleObject progId="AutoCAD.Drawing.19" shapeId="100365" r:id="rId14">
          <objectPr defaultSize="0" autoPict="0" r:id="rId5">
            <anchor moveWithCells="1">
              <from>
                <xdr:col>5</xdr:col>
                <xdr:colOff>323850</xdr:colOff>
                <xdr:row>12</xdr:row>
                <xdr:rowOff>152400</xdr:rowOff>
              </from>
              <to>
                <xdr:col>6</xdr:col>
                <xdr:colOff>266700</xdr:colOff>
                <xdr:row>15</xdr:row>
                <xdr:rowOff>228600</xdr:rowOff>
              </to>
            </anchor>
          </objectPr>
        </oleObject>
      </mc:Choice>
      <mc:Fallback>
        <oleObject progId="AutoCAD.Drawing.19" shapeId="100365" r:id="rId14"/>
      </mc:Fallback>
    </mc:AlternateContent>
    <mc:AlternateContent xmlns:mc="http://schemas.openxmlformats.org/markup-compatibility/2006">
      <mc:Choice Requires="x14">
        <oleObject progId="AutoCAD.Drawing.19" shapeId="100366" r:id="rId15">
          <objectPr defaultSize="0" autoPict="0" r:id="rId10">
            <anchor moveWithCells="1">
              <from>
                <xdr:col>5</xdr:col>
                <xdr:colOff>600075</xdr:colOff>
                <xdr:row>17</xdr:row>
                <xdr:rowOff>95250</xdr:rowOff>
              </from>
              <to>
                <xdr:col>6</xdr:col>
                <xdr:colOff>0</xdr:colOff>
                <xdr:row>22</xdr:row>
                <xdr:rowOff>200025</xdr:rowOff>
              </to>
            </anchor>
          </objectPr>
        </oleObject>
      </mc:Choice>
      <mc:Fallback>
        <oleObject progId="AutoCAD.Drawing.19" shapeId="100366" r:id="rId15"/>
      </mc:Fallback>
    </mc:AlternateContent>
    <mc:AlternateContent xmlns:mc="http://schemas.openxmlformats.org/markup-compatibility/2006">
      <mc:Choice Requires="x14">
        <oleObject progId="AutoCAD.Drawing.19" shapeId="100367" r:id="rId16">
          <objectPr defaultSize="0" autoPict="0" r:id="rId10">
            <anchor moveWithCells="1">
              <from>
                <xdr:col>5</xdr:col>
                <xdr:colOff>666750</xdr:colOff>
                <xdr:row>31</xdr:row>
                <xdr:rowOff>1447800</xdr:rowOff>
              </from>
              <to>
                <xdr:col>5</xdr:col>
                <xdr:colOff>2743200</xdr:colOff>
                <xdr:row>33</xdr:row>
                <xdr:rowOff>638175</xdr:rowOff>
              </to>
            </anchor>
          </objectPr>
        </oleObject>
      </mc:Choice>
      <mc:Fallback>
        <oleObject progId="AutoCAD.Drawing.19" shapeId="100367" r:id="rId16"/>
      </mc:Fallback>
    </mc:AlternateContent>
    <mc:AlternateContent xmlns:mc="http://schemas.openxmlformats.org/markup-compatibility/2006">
      <mc:Choice Requires="x14">
        <oleObject progId="AutoCAD.Drawing.19" shapeId="100363" r:id="rId17">
          <objectPr defaultSize="0" autoPict="0" r:id="rId18">
            <anchor moveWithCells="1" sizeWithCells="1">
              <from>
                <xdr:col>5</xdr:col>
                <xdr:colOff>123825</xdr:colOff>
                <xdr:row>23</xdr:row>
                <xdr:rowOff>19050</xdr:rowOff>
              </from>
              <to>
                <xdr:col>6</xdr:col>
                <xdr:colOff>228600</xdr:colOff>
                <xdr:row>24</xdr:row>
                <xdr:rowOff>1085850</xdr:rowOff>
              </to>
            </anchor>
          </objectPr>
        </oleObject>
      </mc:Choice>
      <mc:Fallback>
        <oleObject progId="AutoCAD.Drawing.19" shapeId="100363" r:id="rId17"/>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42"/>
  <sheetViews>
    <sheetView showGridLines="0" topLeftCell="A8" zoomScale="85" zoomScaleNormal="85" workbookViewId="0">
      <selection activeCell="R43" sqref="R43"/>
    </sheetView>
  </sheetViews>
  <sheetFormatPr baseColWidth="10" defaultRowHeight="15" x14ac:dyDescent="0.25"/>
  <cols>
    <col min="1" max="1" width="6.28515625" bestFit="1" customWidth="1"/>
    <col min="2" max="2" width="11.42578125" bestFit="1" customWidth="1"/>
    <col min="3" max="3" width="11.7109375" bestFit="1" customWidth="1"/>
    <col min="4" max="4" width="10.140625" bestFit="1" customWidth="1"/>
    <col min="5" max="5" width="14.5703125" bestFit="1" customWidth="1"/>
    <col min="6" max="6" width="46.42578125" customWidth="1"/>
    <col min="7" max="7" width="9.140625" customWidth="1"/>
    <col min="8" max="8" width="11" customWidth="1"/>
    <col min="9" max="9" width="10.28515625" customWidth="1"/>
    <col min="10" max="10" width="14.85546875" bestFit="1" customWidth="1"/>
    <col min="11" max="11" width="8.85546875" customWidth="1"/>
    <col min="12" max="12" width="10.140625" customWidth="1"/>
    <col min="13" max="13" width="6.28515625" style="308" customWidth="1"/>
    <col min="14" max="14" width="7" customWidth="1"/>
    <col min="15" max="15" width="4.42578125" customWidth="1"/>
    <col min="16" max="16" width="3.85546875" customWidth="1"/>
    <col min="17" max="17" width="3.42578125" customWidth="1"/>
    <col min="24" max="24" width="11.85546875" bestFit="1" customWidth="1"/>
  </cols>
  <sheetData>
    <row r="1" spans="1:26" ht="19.5" thickBot="1" x14ac:dyDescent="0.35">
      <c r="A1" s="1163" t="s">
        <v>296</v>
      </c>
      <c r="B1" s="1164"/>
      <c r="C1" s="1164"/>
      <c r="D1" s="1164"/>
      <c r="E1" s="1164"/>
      <c r="F1" s="1164"/>
      <c r="G1" s="1164"/>
      <c r="H1" s="1164"/>
      <c r="I1" s="1164"/>
      <c r="J1" s="1164"/>
      <c r="K1" s="1164"/>
      <c r="L1" s="1165"/>
      <c r="M1" s="474"/>
      <c r="N1" s="78"/>
      <c r="O1" s="2"/>
      <c r="P1" s="2"/>
    </row>
    <row r="2" spans="1:26" ht="15.75" thickBot="1" x14ac:dyDescent="0.3">
      <c r="A2" s="12"/>
      <c r="B2" s="10"/>
      <c r="C2" s="10"/>
      <c r="D2" s="10"/>
      <c r="E2" s="10"/>
      <c r="F2" s="10"/>
      <c r="G2" s="10"/>
      <c r="H2" s="10"/>
      <c r="I2" s="10"/>
      <c r="J2" s="10"/>
      <c r="K2" s="10"/>
      <c r="L2" s="13"/>
      <c r="M2" s="474"/>
      <c r="N2" s="78"/>
      <c r="O2" s="2"/>
      <c r="P2" s="2"/>
    </row>
    <row r="3" spans="1:26" ht="16.5" customHeight="1" thickBot="1" x14ac:dyDescent="0.3">
      <c r="A3" s="463" t="s">
        <v>0</v>
      </c>
      <c r="B3" s="464" t="s">
        <v>1</v>
      </c>
      <c r="C3" s="464" t="s">
        <v>2</v>
      </c>
      <c r="D3" s="464" t="s">
        <v>3</v>
      </c>
      <c r="E3" s="464" t="s">
        <v>4</v>
      </c>
      <c r="F3" s="1176" t="s">
        <v>5</v>
      </c>
      <c r="G3" s="1177"/>
      <c r="H3" s="489" t="s">
        <v>7</v>
      </c>
      <c r="I3" s="489" t="s">
        <v>8</v>
      </c>
      <c r="J3" s="489" t="s">
        <v>28</v>
      </c>
      <c r="K3" s="490" t="s">
        <v>44</v>
      </c>
      <c r="L3" s="491" t="s">
        <v>9</v>
      </c>
      <c r="M3" s="474"/>
      <c r="N3" s="78"/>
      <c r="O3" s="2"/>
      <c r="P3" s="2"/>
      <c r="R3" s="238" t="s">
        <v>19</v>
      </c>
      <c r="S3" s="239" t="s">
        <v>20</v>
      </c>
      <c r="T3" s="239" t="s">
        <v>25</v>
      </c>
      <c r="U3" s="240" t="s">
        <v>311</v>
      </c>
      <c r="V3" s="462" t="s">
        <v>344</v>
      </c>
    </row>
    <row r="4" spans="1:26" ht="120" customHeight="1" thickBot="1" x14ac:dyDescent="0.3">
      <c r="A4" s="1166" t="s">
        <v>112</v>
      </c>
      <c r="B4" s="467" t="s">
        <v>6</v>
      </c>
      <c r="C4" s="468" t="s">
        <v>18</v>
      </c>
      <c r="D4" s="469">
        <v>36</v>
      </c>
      <c r="E4" s="470">
        <f>H4</f>
        <v>3082.27</v>
      </c>
      <c r="F4" s="1170"/>
      <c r="G4" s="1170"/>
      <c r="H4" s="467">
        <f>3088.27-(2*3)</f>
        <v>3082.27</v>
      </c>
      <c r="I4" s="469"/>
      <c r="J4" s="469"/>
      <c r="K4" s="248"/>
      <c r="L4" s="104">
        <f>(E4/100)*D4*VLOOKUP(C4,$R$5:$T$7,3,FALSE)</f>
        <v>1105.1787312000001</v>
      </c>
      <c r="M4" s="474" t="s">
        <v>43</v>
      </c>
      <c r="N4" s="11"/>
      <c r="O4" s="3"/>
      <c r="P4" s="2"/>
      <c r="R4" s="235" t="s">
        <v>243</v>
      </c>
      <c r="S4" s="236" t="s">
        <v>21</v>
      </c>
      <c r="T4" s="262">
        <v>0.55700000000000005</v>
      </c>
      <c r="U4" s="237">
        <f>ROUNDUP((3/8*2.54*3.5),0)</f>
        <v>4</v>
      </c>
      <c r="V4" s="260">
        <f>ROUND(+PI()*U4*2/4,0)</f>
        <v>6</v>
      </c>
      <c r="W4" s="2"/>
      <c r="X4" s="2"/>
      <c r="Y4" s="2"/>
      <c r="Z4" s="2"/>
    </row>
    <row r="5" spans="1:26" ht="120" customHeight="1" thickBot="1" x14ac:dyDescent="0.3">
      <c r="A5" s="1167"/>
      <c r="B5" s="471" t="s">
        <v>11</v>
      </c>
      <c r="C5" s="146" t="s">
        <v>18</v>
      </c>
      <c r="D5" s="445">
        <f>3+43+31+20+8+1+8+20+31+43+3</f>
        <v>211</v>
      </c>
      <c r="E5" s="113">
        <f>H5+(2*I5)+(2*K5)+(2*J5)+(2*20)+(4*4)</f>
        <v>216</v>
      </c>
      <c r="F5" s="1171"/>
      <c r="G5" s="1171"/>
      <c r="H5" s="471">
        <v>56</v>
      </c>
      <c r="I5" s="445">
        <v>10</v>
      </c>
      <c r="J5" s="445">
        <v>8</v>
      </c>
      <c r="K5" s="446">
        <v>34</v>
      </c>
      <c r="L5" s="447">
        <f>(E5/100)*D5*VLOOKUP(C5,$R$5:$T$7,3,FALSE)</f>
        <v>453.93696000000006</v>
      </c>
      <c r="M5" s="442" t="s">
        <v>43</v>
      </c>
      <c r="N5" s="11"/>
      <c r="O5" s="3"/>
      <c r="P5" s="2"/>
      <c r="R5" s="443" t="s">
        <v>18</v>
      </c>
      <c r="S5" s="220" t="s">
        <v>22</v>
      </c>
      <c r="T5" s="263">
        <v>0.996</v>
      </c>
      <c r="U5" s="440">
        <f>ROUNDUP((4/8*2.54*3.5),0)</f>
        <v>5</v>
      </c>
      <c r="V5" s="259">
        <f t="shared" ref="V5:V10" si="0">ROUND(+PI()*U5*2/4,0)</f>
        <v>8</v>
      </c>
      <c r="W5" s="2"/>
      <c r="X5" s="434"/>
      <c r="Y5" s="434"/>
      <c r="Z5" s="2"/>
    </row>
    <row r="6" spans="1:26" ht="120" customHeight="1" thickBot="1" x14ac:dyDescent="0.3">
      <c r="A6" s="1167"/>
      <c r="B6" s="471" t="s">
        <v>12</v>
      </c>
      <c r="C6" s="146" t="s">
        <v>18</v>
      </c>
      <c r="D6" s="445">
        <f>D5</f>
        <v>211</v>
      </c>
      <c r="E6" s="113">
        <f>H6+(2*I6)+(2*J6)+(2*K6)+(2*20)+(4*3)</f>
        <v>152</v>
      </c>
      <c r="F6" s="1171"/>
      <c r="G6" s="1171"/>
      <c r="H6" s="471">
        <v>32</v>
      </c>
      <c r="I6" s="445">
        <v>8</v>
      </c>
      <c r="J6" s="445">
        <f>VLOOKUP(C6,$R$4:$V$10,5,FALSE)</f>
        <v>8</v>
      </c>
      <c r="K6" s="446">
        <v>18</v>
      </c>
      <c r="L6" s="447">
        <f>(E6/100)*D6*VLOOKUP(C6,$R$5:$T$7,3,FALSE)</f>
        <v>319.43712000000005</v>
      </c>
      <c r="M6" s="442" t="s">
        <v>43</v>
      </c>
      <c r="N6" s="11"/>
      <c r="O6" s="3"/>
      <c r="P6" s="2"/>
      <c r="R6" s="444" t="s">
        <v>244</v>
      </c>
      <c r="S6" s="231" t="s">
        <v>23</v>
      </c>
      <c r="T6" s="262">
        <v>1.55</v>
      </c>
      <c r="U6" s="232">
        <f>ROUNDUP((5/8*2.54*3.5),0)</f>
        <v>6</v>
      </c>
      <c r="V6" s="261">
        <f t="shared" si="0"/>
        <v>9</v>
      </c>
      <c r="W6" s="2"/>
      <c r="X6" s="2"/>
      <c r="Y6" s="2"/>
      <c r="Z6" s="2"/>
    </row>
    <row r="7" spans="1:26" ht="120" customHeight="1" thickBot="1" x14ac:dyDescent="0.3">
      <c r="A7" s="1167"/>
      <c r="B7" s="471" t="s">
        <v>13</v>
      </c>
      <c r="C7" s="146" t="s">
        <v>18</v>
      </c>
      <c r="D7" s="445">
        <f>D6</f>
        <v>211</v>
      </c>
      <c r="E7" s="113">
        <f>(H7*2)+I7+(J7*4)+K7*2</f>
        <v>448.92</v>
      </c>
      <c r="F7" s="465"/>
      <c r="G7" s="473"/>
      <c r="H7" s="471">
        <f>193-2-(2*VLOOKUP(C7,$R$4:$V$10,4,FALSE))</f>
        <v>181</v>
      </c>
      <c r="I7" s="446">
        <f>20-(2*2.54)-(2*VLOOKUP(C7,$R$4:$V$10,4, FALSE))</f>
        <v>4.92</v>
      </c>
      <c r="J7" s="445">
        <f>VLOOKUP(C7,$R$4:$V$10,5,FALSE)</f>
        <v>8</v>
      </c>
      <c r="K7" s="446">
        <v>25</v>
      </c>
      <c r="L7" s="447">
        <f>(E7/100)*D7*VLOOKUP(C7,$R$4:$V$10,3,FALSE)</f>
        <v>943.43231520000006</v>
      </c>
      <c r="M7" s="442" t="s">
        <v>43</v>
      </c>
      <c r="N7" s="11"/>
      <c r="O7" s="3"/>
      <c r="P7" s="2"/>
      <c r="R7" s="443" t="s">
        <v>17</v>
      </c>
      <c r="S7" s="220" t="s">
        <v>24</v>
      </c>
      <c r="T7" s="263">
        <v>2.2349999999999999</v>
      </c>
      <c r="U7" s="440">
        <f>ROUNDUP((6/8*2.54*3.5),0)</f>
        <v>7</v>
      </c>
      <c r="V7" s="259">
        <f t="shared" si="0"/>
        <v>11</v>
      </c>
      <c r="W7" s="2"/>
      <c r="X7" s="2"/>
      <c r="Y7" s="2"/>
      <c r="Z7" s="2"/>
    </row>
    <row r="8" spans="1:26" ht="120" customHeight="1" thickBot="1" x14ac:dyDescent="0.3">
      <c r="A8" s="1168"/>
      <c r="B8" s="471" t="s">
        <v>14</v>
      </c>
      <c r="C8" s="146" t="s">
        <v>18</v>
      </c>
      <c r="D8" s="445">
        <f>D7</f>
        <v>211</v>
      </c>
      <c r="E8" s="113">
        <f>H8+I8+(5*J8)+(2*K8)+(2*10)+2</f>
        <v>249</v>
      </c>
      <c r="F8" s="1171"/>
      <c r="G8" s="1171"/>
      <c r="H8" s="471">
        <f>107-(2*2)-(2*VLOOKUP(C8,$R$4:$V$10,4,FALSE))</f>
        <v>93</v>
      </c>
      <c r="I8" s="445">
        <v>58</v>
      </c>
      <c r="J8" s="445">
        <f>VLOOKUP(C8,$R$4:$V$10,5,FALSE)</f>
        <v>8</v>
      </c>
      <c r="K8" s="446">
        <v>18</v>
      </c>
      <c r="L8" s="447">
        <f>(E8/100)*D8*VLOOKUP(C8,$R$4:$V$10,3,FALSE)</f>
        <v>523.28844000000015</v>
      </c>
      <c r="M8" s="442" t="s">
        <v>43</v>
      </c>
      <c r="N8" s="11"/>
      <c r="O8" s="3"/>
      <c r="P8" s="2"/>
      <c r="R8" s="444" t="s">
        <v>16</v>
      </c>
      <c r="S8" s="233">
        <v>1</v>
      </c>
      <c r="T8" s="262">
        <v>3.99</v>
      </c>
      <c r="U8" s="232">
        <f>ROUNDUP((8/8*2.54*3.5),0)</f>
        <v>9</v>
      </c>
      <c r="V8" s="260">
        <f t="shared" si="0"/>
        <v>14</v>
      </c>
      <c r="W8" s="2"/>
      <c r="X8" s="2"/>
      <c r="Y8" s="2"/>
      <c r="Z8" s="2"/>
    </row>
    <row r="9" spans="1:26" ht="120" customHeight="1" thickBot="1" x14ac:dyDescent="0.3">
      <c r="A9" s="1168"/>
      <c r="B9" s="471" t="s">
        <v>262</v>
      </c>
      <c r="C9" s="146" t="s">
        <v>18</v>
      </c>
      <c r="D9" s="445">
        <f>D8</f>
        <v>211</v>
      </c>
      <c r="E9" s="113">
        <f>H9+(2*I9)+(4*J9)+(2*K9)</f>
        <v>114</v>
      </c>
      <c r="F9" s="1171"/>
      <c r="G9" s="1172"/>
      <c r="H9" s="471">
        <v>32</v>
      </c>
      <c r="I9" s="445">
        <v>15</v>
      </c>
      <c r="J9" s="445">
        <f>VLOOKUP(C9,$R$4:$V$10,5,FALSE)</f>
        <v>8</v>
      </c>
      <c r="K9" s="446">
        <v>10</v>
      </c>
      <c r="L9" s="416">
        <f>(E9/100)*D9*VLOOKUP(C9,$R$4:$V$10,3,FALSE)</f>
        <v>239.57783999999998</v>
      </c>
      <c r="M9" s="442" t="s">
        <v>43</v>
      </c>
      <c r="N9" s="11"/>
      <c r="O9" s="3"/>
      <c r="P9" s="2"/>
      <c r="R9" s="443" t="s">
        <v>290</v>
      </c>
      <c r="S9" s="221">
        <v>1.25</v>
      </c>
      <c r="T9" s="263">
        <v>6.2249999999999996</v>
      </c>
      <c r="U9" s="440">
        <f>ROUNDUP((10/8*2.54*3.5),0)</f>
        <v>12</v>
      </c>
      <c r="V9" s="259">
        <f t="shared" si="0"/>
        <v>19</v>
      </c>
      <c r="W9" s="2"/>
      <c r="X9" s="2"/>
      <c r="Y9" s="2"/>
      <c r="Z9" s="2"/>
    </row>
    <row r="10" spans="1:26" ht="120" customHeight="1" thickBot="1" x14ac:dyDescent="0.3">
      <c r="A10" s="1169"/>
      <c r="B10" s="1173" t="s">
        <v>345</v>
      </c>
      <c r="C10" s="1174"/>
      <c r="D10" s="164">
        <v>6</v>
      </c>
      <c r="E10" s="472">
        <f>(H10*2)+(I10*2)+(J10*3)</f>
        <v>397</v>
      </c>
      <c r="F10" s="1175"/>
      <c r="G10" s="1175"/>
      <c r="H10" s="293">
        <v>98</v>
      </c>
      <c r="I10" s="159">
        <v>30</v>
      </c>
      <c r="J10" s="159">
        <f>ROUND(+PI()*15*2/(360/180),0)</f>
        <v>47</v>
      </c>
      <c r="K10" s="159"/>
      <c r="L10" s="108">
        <f>((E10/100)*D10)*G42</f>
        <v>50.260199999999998</v>
      </c>
      <c r="M10" s="442" t="s">
        <v>43</v>
      </c>
      <c r="N10" s="11"/>
      <c r="O10" s="3"/>
      <c r="P10" s="2"/>
      <c r="R10" s="444" t="s">
        <v>286</v>
      </c>
      <c r="S10" s="234">
        <v>1.5</v>
      </c>
      <c r="T10" s="262">
        <v>8.9380000000000006</v>
      </c>
      <c r="U10" s="232">
        <f>ROUNDUP((12/8*2.54*3.5),0)</f>
        <v>14</v>
      </c>
      <c r="V10" s="258">
        <f t="shared" si="0"/>
        <v>22</v>
      </c>
      <c r="W10" s="2"/>
      <c r="X10" s="2"/>
      <c r="Y10" s="2"/>
      <c r="Z10" s="2"/>
    </row>
    <row r="11" spans="1:26" ht="15.75" thickBot="1" x14ac:dyDescent="0.3">
      <c r="A11" s="54"/>
      <c r="B11" s="168"/>
      <c r="C11" s="169"/>
      <c r="D11" s="169"/>
      <c r="E11" s="169"/>
      <c r="F11" s="1142" t="s">
        <v>111</v>
      </c>
      <c r="G11" s="1143"/>
      <c r="H11" s="1144"/>
      <c r="I11" s="170" t="s">
        <v>51</v>
      </c>
      <c r="J11" s="171" t="s">
        <v>113</v>
      </c>
      <c r="K11" s="172">
        <v>10</v>
      </c>
      <c r="L11" s="173" t="s">
        <v>167</v>
      </c>
    </row>
    <row r="12" spans="1:26" x14ac:dyDescent="0.25">
      <c r="B12" s="478"/>
      <c r="C12" s="479"/>
      <c r="D12" s="479"/>
      <c r="E12" s="479"/>
      <c r="F12" s="1145" t="s">
        <v>116</v>
      </c>
      <c r="G12" s="1146"/>
      <c r="H12" s="1147"/>
      <c r="I12" s="480" t="s">
        <v>30</v>
      </c>
      <c r="J12" s="481">
        <f>SUM(L4:L9)</f>
        <v>3584.8514064000005</v>
      </c>
      <c r="K12" s="1148">
        <f>J12*$K$11</f>
        <v>35848.514064000003</v>
      </c>
      <c r="L12" s="1149"/>
      <c r="M12" s="308" t="s">
        <v>43</v>
      </c>
    </row>
    <row r="13" spans="1:26" x14ac:dyDescent="0.25">
      <c r="B13" s="478"/>
      <c r="C13" s="479"/>
      <c r="D13" s="479"/>
      <c r="E13" s="479"/>
      <c r="F13" s="1145" t="s">
        <v>117</v>
      </c>
      <c r="G13" s="1146"/>
      <c r="H13" s="1147"/>
      <c r="I13" s="480" t="s">
        <v>30</v>
      </c>
      <c r="J13" s="482">
        <f>I27</f>
        <v>934.00021079999999</v>
      </c>
      <c r="K13" s="1150">
        <f>J13*$K$11</f>
        <v>9340.0021080000006</v>
      </c>
      <c r="L13" s="1151"/>
      <c r="M13" s="308" t="s">
        <v>43</v>
      </c>
    </row>
    <row r="14" spans="1:26" x14ac:dyDescent="0.25">
      <c r="B14" s="478"/>
      <c r="C14" s="479"/>
      <c r="D14" s="479"/>
      <c r="E14" s="479"/>
      <c r="F14" s="1145" t="s">
        <v>48</v>
      </c>
      <c r="G14" s="1146"/>
      <c r="H14" s="1147"/>
      <c r="I14" s="480" t="s">
        <v>29</v>
      </c>
      <c r="J14" s="483">
        <f>MAX(H32:H37)</f>
        <v>21.380093210000002</v>
      </c>
      <c r="K14" s="1150">
        <f>J14*$K$11</f>
        <v>213.80093210000001</v>
      </c>
      <c r="L14" s="1151"/>
      <c r="M14" s="308" t="s">
        <v>43</v>
      </c>
    </row>
    <row r="15" spans="1:26" ht="27.75" customHeight="1" thickBot="1" x14ac:dyDescent="0.3">
      <c r="B15" s="484"/>
      <c r="C15" s="485"/>
      <c r="D15" s="485"/>
      <c r="E15" s="485"/>
      <c r="F15" s="1152" t="s">
        <v>118</v>
      </c>
      <c r="G15" s="1153"/>
      <c r="H15" s="1154"/>
      <c r="I15" s="486" t="s">
        <v>30</v>
      </c>
      <c r="J15" s="487">
        <f>L10</f>
        <v>50.260199999999998</v>
      </c>
      <c r="K15" s="1155">
        <f>J15*$K$11</f>
        <v>502.60199999999998</v>
      </c>
      <c r="L15" s="1156"/>
      <c r="M15" s="308" t="s">
        <v>43</v>
      </c>
    </row>
    <row r="16" spans="1:26" ht="15.75" thickBot="1" x14ac:dyDescent="0.3">
      <c r="B16" s="70"/>
      <c r="C16" s="70"/>
      <c r="D16" s="70"/>
      <c r="E16" s="70"/>
      <c r="F16" s="142"/>
    </row>
    <row r="17" spans="2:15" x14ac:dyDescent="0.25">
      <c r="G17" s="1159" t="s">
        <v>131</v>
      </c>
      <c r="H17" s="1160"/>
      <c r="I17" s="143" t="s">
        <v>29</v>
      </c>
      <c r="J17" s="475">
        <f>(J12+J13)/J18</f>
        <v>0.57564988754140134</v>
      </c>
    </row>
    <row r="18" spans="2:15" x14ac:dyDescent="0.25">
      <c r="B18">
        <v>112</v>
      </c>
      <c r="G18" s="1161" t="s">
        <v>127</v>
      </c>
      <c r="H18" s="1162"/>
      <c r="I18" s="61" t="s">
        <v>128</v>
      </c>
      <c r="J18" s="476">
        <v>7850</v>
      </c>
      <c r="N18" s="71"/>
    </row>
    <row r="19" spans="2:15" ht="15.75" thickBot="1" x14ac:dyDescent="0.3">
      <c r="G19" s="1135" t="s">
        <v>132</v>
      </c>
      <c r="H19" s="1136"/>
      <c r="I19" s="144" t="s">
        <v>29</v>
      </c>
      <c r="J19" s="145">
        <f>J14-J17</f>
        <v>20.804443322458599</v>
      </c>
      <c r="K19" s="92" t="s">
        <v>43</v>
      </c>
    </row>
    <row r="26" spans="2:15" x14ac:dyDescent="0.25">
      <c r="E26" s="8" t="s">
        <v>151</v>
      </c>
      <c r="F26" s="8" t="s">
        <v>166</v>
      </c>
      <c r="G26" s="1157" t="s">
        <v>121</v>
      </c>
      <c r="H26" s="1158"/>
      <c r="I26" s="1157" t="s">
        <v>153</v>
      </c>
      <c r="J26" s="1158"/>
      <c r="N26" s="1137"/>
      <c r="O26" s="1137"/>
    </row>
    <row r="27" spans="2:15" x14ac:dyDescent="0.25">
      <c r="E27" s="209" t="s">
        <v>22</v>
      </c>
      <c r="F27" s="488">
        <v>36</v>
      </c>
      <c r="G27" s="1138">
        <f>G37+2</f>
        <v>32.8827</v>
      </c>
      <c r="H27" s="1139"/>
      <c r="I27" s="1140">
        <f>(F27*G27)*G41</f>
        <v>934.00021079999999</v>
      </c>
      <c r="J27" s="1141"/>
      <c r="K27" s="92" t="s">
        <v>43</v>
      </c>
    </row>
    <row r="31" spans="2:15" x14ac:dyDescent="0.25">
      <c r="E31" s="1"/>
      <c r="F31" s="1" t="s">
        <v>165</v>
      </c>
      <c r="G31" s="1" t="s">
        <v>157</v>
      </c>
      <c r="H31" s="1" t="s">
        <v>152</v>
      </c>
    </row>
    <row r="32" spans="2:15" x14ac:dyDescent="0.25">
      <c r="E32" s="1" t="s">
        <v>158</v>
      </c>
      <c r="F32" s="1">
        <v>0.16969999999999999</v>
      </c>
      <c r="G32" s="1"/>
      <c r="H32" s="1">
        <f t="shared" ref="H32:H37" si="1">F32*G32</f>
        <v>0</v>
      </c>
    </row>
    <row r="33" spans="5:8" x14ac:dyDescent="0.25">
      <c r="E33" s="1" t="s">
        <v>159</v>
      </c>
      <c r="F33" s="1">
        <v>0.23200000000000001</v>
      </c>
      <c r="G33" s="1"/>
      <c r="H33" s="1">
        <f t="shared" si="1"/>
        <v>0</v>
      </c>
    </row>
    <row r="34" spans="5:8" x14ac:dyDescent="0.25">
      <c r="E34" s="1" t="s">
        <v>160</v>
      </c>
      <c r="F34" s="1">
        <v>0.36249999999999999</v>
      </c>
      <c r="G34" s="1"/>
      <c r="H34" s="1">
        <f t="shared" si="1"/>
        <v>0</v>
      </c>
    </row>
    <row r="35" spans="5:8" x14ac:dyDescent="0.25">
      <c r="E35" s="1" t="s">
        <v>154</v>
      </c>
      <c r="F35" s="1">
        <v>0.49740000000000001</v>
      </c>
      <c r="G35" s="1"/>
      <c r="H35" s="1">
        <f t="shared" si="1"/>
        <v>0</v>
      </c>
    </row>
    <row r="36" spans="5:8" x14ac:dyDescent="0.25">
      <c r="E36" s="1" t="s">
        <v>156</v>
      </c>
      <c r="F36" s="1">
        <v>0.64600000000000002</v>
      </c>
      <c r="G36" s="1"/>
      <c r="H36" s="1">
        <f t="shared" si="1"/>
        <v>0</v>
      </c>
    </row>
    <row r="37" spans="5:8" x14ac:dyDescent="0.25">
      <c r="E37" s="72" t="s">
        <v>155</v>
      </c>
      <c r="F37" s="477">
        <v>0.69230000000000003</v>
      </c>
      <c r="G37" s="72">
        <v>30.8827</v>
      </c>
      <c r="H37" s="83">
        <f t="shared" si="1"/>
        <v>21.380093210000002</v>
      </c>
    </row>
    <row r="40" spans="5:8" x14ac:dyDescent="0.25">
      <c r="F40" s="1" t="s">
        <v>164</v>
      </c>
      <c r="G40" s="1" t="s">
        <v>162</v>
      </c>
    </row>
    <row r="41" spans="5:8" x14ac:dyDescent="0.25">
      <c r="F41" s="79" t="s">
        <v>161</v>
      </c>
      <c r="G41" s="1">
        <v>0.78900000000000003</v>
      </c>
    </row>
    <row r="42" spans="5:8" x14ac:dyDescent="0.25">
      <c r="F42" s="1" t="s">
        <v>163</v>
      </c>
      <c r="G42" s="1">
        <v>2.11</v>
      </c>
    </row>
  </sheetData>
  <mergeCells count="27">
    <mergeCell ref="G18:H18"/>
    <mergeCell ref="A1:L1"/>
    <mergeCell ref="A4:A10"/>
    <mergeCell ref="F4:G4"/>
    <mergeCell ref="F5:G5"/>
    <mergeCell ref="F6:G6"/>
    <mergeCell ref="F8:G8"/>
    <mergeCell ref="F9:G9"/>
    <mergeCell ref="B10:C10"/>
    <mergeCell ref="F10:G10"/>
    <mergeCell ref="F3:G3"/>
    <mergeCell ref="G19:H19"/>
    <mergeCell ref="N26:O26"/>
    <mergeCell ref="G27:H27"/>
    <mergeCell ref="I27:J27"/>
    <mergeCell ref="F11:H11"/>
    <mergeCell ref="F12:H12"/>
    <mergeCell ref="K12:L12"/>
    <mergeCell ref="F13:H13"/>
    <mergeCell ref="K13:L13"/>
    <mergeCell ref="F14:H14"/>
    <mergeCell ref="K14:L14"/>
    <mergeCell ref="F15:H15"/>
    <mergeCell ref="K15:L15"/>
    <mergeCell ref="G26:H26"/>
    <mergeCell ref="I26:J26"/>
    <mergeCell ref="G17:H1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2"/>
  <sheetViews>
    <sheetView showGridLines="0" topLeftCell="C10" zoomScale="85" zoomScaleNormal="85" workbookViewId="0">
      <selection activeCell="P19" sqref="P19"/>
    </sheetView>
  </sheetViews>
  <sheetFormatPr baseColWidth="10" defaultRowHeight="15" x14ac:dyDescent="0.25"/>
  <cols>
    <col min="1" max="1" width="5.85546875" customWidth="1"/>
    <col min="2" max="2" width="6" customWidth="1"/>
    <col min="3" max="3" width="7" customWidth="1"/>
    <col min="4" max="4" width="8.42578125" customWidth="1"/>
    <col min="5" max="5" width="9.140625" customWidth="1"/>
    <col min="6" max="6" width="46.42578125" customWidth="1"/>
    <col min="7" max="7" width="9.140625" customWidth="1"/>
    <col min="8" max="8" width="11" bestFit="1" customWidth="1"/>
    <col min="9" max="9" width="7.140625" customWidth="1"/>
    <col min="10" max="10" width="10" customWidth="1"/>
    <col min="13" max="13" width="6.28515625" customWidth="1"/>
    <col min="14" max="14" width="7" customWidth="1"/>
    <col min="15" max="15" width="4.42578125" customWidth="1"/>
    <col min="16" max="16" width="3.85546875" customWidth="1"/>
    <col min="17" max="17" width="3.42578125" customWidth="1"/>
  </cols>
  <sheetData>
    <row r="1" spans="1:22" ht="19.5" thickBot="1" x14ac:dyDescent="0.35">
      <c r="A1" s="1163" t="s">
        <v>295</v>
      </c>
      <c r="B1" s="1164"/>
      <c r="C1" s="1164"/>
      <c r="D1" s="1164"/>
      <c r="E1" s="1164"/>
      <c r="F1" s="1164"/>
      <c r="G1" s="1164"/>
      <c r="H1" s="1164"/>
      <c r="I1" s="1164"/>
      <c r="J1" s="1164"/>
      <c r="K1" s="1164"/>
      <c r="L1" s="1165"/>
      <c r="M1" s="17"/>
      <c r="N1" s="78"/>
      <c r="O1" s="2"/>
      <c r="P1" s="2"/>
    </row>
    <row r="2" spans="1:22" ht="15.75" thickBot="1" x14ac:dyDescent="0.3">
      <c r="A2" s="12"/>
      <c r="B2" s="10"/>
      <c r="C2" s="10"/>
      <c r="D2" s="10"/>
      <c r="E2" s="10"/>
      <c r="F2" s="10"/>
      <c r="G2" s="10"/>
      <c r="H2" s="10"/>
      <c r="I2" s="10"/>
      <c r="J2" s="10"/>
      <c r="K2" s="10"/>
      <c r="L2" s="13"/>
      <c r="M2" s="474"/>
      <c r="N2" s="78"/>
      <c r="O2" s="2"/>
      <c r="P2" s="2"/>
    </row>
    <row r="3" spans="1:22" ht="15.75" thickBot="1" x14ac:dyDescent="0.3">
      <c r="A3" s="463" t="s">
        <v>0</v>
      </c>
      <c r="B3" s="464" t="s">
        <v>1</v>
      </c>
      <c r="C3" s="464" t="s">
        <v>2</v>
      </c>
      <c r="D3" s="464" t="s">
        <v>3</v>
      </c>
      <c r="E3" s="464" t="s">
        <v>4</v>
      </c>
      <c r="F3" s="1176" t="s">
        <v>5</v>
      </c>
      <c r="G3" s="1177"/>
      <c r="H3" s="489" t="s">
        <v>7</v>
      </c>
      <c r="I3" s="489" t="s">
        <v>8</v>
      </c>
      <c r="J3" s="489" t="s">
        <v>28</v>
      </c>
      <c r="K3" s="490" t="s">
        <v>44</v>
      </c>
      <c r="L3" s="491" t="s">
        <v>9</v>
      </c>
      <c r="M3" s="474"/>
      <c r="N3" s="78"/>
      <c r="O3" s="2"/>
      <c r="P3" s="2"/>
      <c r="R3" s="238" t="s">
        <v>19</v>
      </c>
      <c r="S3" s="239" t="s">
        <v>20</v>
      </c>
      <c r="T3" s="239" t="s">
        <v>25</v>
      </c>
      <c r="U3" s="240" t="s">
        <v>311</v>
      </c>
      <c r="V3" s="462" t="s">
        <v>344</v>
      </c>
    </row>
    <row r="4" spans="1:22" ht="120" customHeight="1" thickBot="1" x14ac:dyDescent="0.3">
      <c r="A4" s="1166" t="s">
        <v>112</v>
      </c>
      <c r="B4" s="467" t="s">
        <v>6</v>
      </c>
      <c r="C4" s="468" t="s">
        <v>18</v>
      </c>
      <c r="D4" s="469">
        <v>36</v>
      </c>
      <c r="E4" s="470">
        <f>H4</f>
        <v>4078.12</v>
      </c>
      <c r="F4" s="1170"/>
      <c r="G4" s="1170"/>
      <c r="H4" s="467">
        <f>4084.12-(2*3)</f>
        <v>4078.12</v>
      </c>
      <c r="I4" s="469"/>
      <c r="J4" s="469"/>
      <c r="K4" s="248"/>
      <c r="L4" s="104">
        <f>(E4/100)*D4*VLOOKUP(C4,$R$5:$T$7,3,FALSE)</f>
        <v>1462.2507072000001</v>
      </c>
      <c r="M4" s="474" t="s">
        <v>43</v>
      </c>
      <c r="N4" s="11"/>
      <c r="O4" s="3"/>
      <c r="P4" s="2"/>
      <c r="R4" s="235" t="s">
        <v>243</v>
      </c>
      <c r="S4" s="236" t="s">
        <v>21</v>
      </c>
      <c r="T4" s="262">
        <v>0.55700000000000005</v>
      </c>
      <c r="U4" s="237">
        <f>ROUNDUP((3/8*2.54*3.5),0)</f>
        <v>4</v>
      </c>
      <c r="V4" s="260">
        <f>ROUND(+PI()*U4*2/4,0)</f>
        <v>6</v>
      </c>
    </row>
    <row r="5" spans="1:22" ht="120" customHeight="1" thickBot="1" x14ac:dyDescent="0.3">
      <c r="A5" s="1167"/>
      <c r="B5" s="471" t="s">
        <v>11</v>
      </c>
      <c r="C5" s="146" t="s">
        <v>18</v>
      </c>
      <c r="D5" s="445">
        <f>3+50+35+25+10+7+1+7+10+25+35+50+3</f>
        <v>261</v>
      </c>
      <c r="E5" s="113">
        <f>H5+(2*I5)+(2*K5)+(2*J5)+(2*20)+(4*4)</f>
        <v>216</v>
      </c>
      <c r="F5" s="1171"/>
      <c r="G5" s="1171"/>
      <c r="H5" s="471">
        <v>56</v>
      </c>
      <c r="I5" s="445">
        <v>10</v>
      </c>
      <c r="J5" s="445">
        <v>8</v>
      </c>
      <c r="K5" s="446">
        <v>34</v>
      </c>
      <c r="L5" s="447">
        <f>(E5/100)*D5*VLOOKUP(C5,$R$5:$T$7,3,FALSE)</f>
        <v>561.50495999999998</v>
      </c>
      <c r="M5" s="442" t="s">
        <v>43</v>
      </c>
      <c r="N5" s="11"/>
      <c r="O5" s="3"/>
      <c r="P5" s="2"/>
      <c r="R5" s="443" t="s">
        <v>18</v>
      </c>
      <c r="S5" s="220" t="s">
        <v>22</v>
      </c>
      <c r="T5" s="263">
        <v>0.996</v>
      </c>
      <c r="U5" s="440">
        <f>ROUNDUP((4/8*2.54*3.5),0)</f>
        <v>5</v>
      </c>
      <c r="V5" s="259">
        <f t="shared" ref="V5:V10" si="0">ROUND(+PI()*U5*2/4,0)</f>
        <v>8</v>
      </c>
    </row>
    <row r="6" spans="1:22" ht="120" customHeight="1" thickBot="1" x14ac:dyDescent="0.3">
      <c r="A6" s="1167"/>
      <c r="B6" s="471" t="s">
        <v>12</v>
      </c>
      <c r="C6" s="146" t="s">
        <v>18</v>
      </c>
      <c r="D6" s="445">
        <f>D5</f>
        <v>261</v>
      </c>
      <c r="E6" s="113">
        <f>H6+(2*I6)+(2*J6)+(2*K6)+(2*20)+(4*3)</f>
        <v>152</v>
      </c>
      <c r="F6" s="1171"/>
      <c r="G6" s="1171"/>
      <c r="H6" s="471">
        <v>32</v>
      </c>
      <c r="I6" s="445">
        <v>8</v>
      </c>
      <c r="J6" s="445">
        <f>VLOOKUP(C6,$R$4:$V$10,5,FALSE)</f>
        <v>8</v>
      </c>
      <c r="K6" s="446">
        <v>18</v>
      </c>
      <c r="L6" s="447">
        <f>(E6/100)*D6*VLOOKUP(C6,$R$5:$T$7,3,FALSE)</f>
        <v>395.13312000000002</v>
      </c>
      <c r="M6" s="442" t="s">
        <v>43</v>
      </c>
      <c r="N6" s="11"/>
      <c r="O6" s="3"/>
      <c r="P6" s="2"/>
      <c r="R6" s="444" t="s">
        <v>244</v>
      </c>
      <c r="S6" s="231" t="s">
        <v>23</v>
      </c>
      <c r="T6" s="262">
        <v>1.55</v>
      </c>
      <c r="U6" s="232">
        <f>ROUNDUP((5/8*2.54*3.5),0)</f>
        <v>6</v>
      </c>
      <c r="V6" s="261">
        <f t="shared" si="0"/>
        <v>9</v>
      </c>
    </row>
    <row r="7" spans="1:22" ht="120" customHeight="1" thickBot="1" x14ac:dyDescent="0.3">
      <c r="A7" s="1167"/>
      <c r="B7" s="471" t="s">
        <v>13</v>
      </c>
      <c r="C7" s="146" t="s">
        <v>18</v>
      </c>
      <c r="D7" s="445">
        <f>D6</f>
        <v>261</v>
      </c>
      <c r="E7" s="113">
        <f>(H7*2)+I7+(J7*4)+K7*2</f>
        <v>448.92</v>
      </c>
      <c r="F7" s="465"/>
      <c r="G7" s="473"/>
      <c r="H7" s="471">
        <f>193-2-(2*VLOOKUP(C7,$R$4:$V$10,4,FALSE))</f>
        <v>181</v>
      </c>
      <c r="I7" s="446">
        <f>20-(2*2.54)-(2*VLOOKUP(C7,$R$4:$V$10,4, FALSE))</f>
        <v>4.92</v>
      </c>
      <c r="J7" s="445">
        <f>VLOOKUP(C7,$R$4:$V$10,5,FALSE)</f>
        <v>8</v>
      </c>
      <c r="K7" s="446">
        <v>25</v>
      </c>
      <c r="L7" s="447">
        <f>(E7/100)*D7*VLOOKUP(C7,$R$4:$V$10,3,FALSE)</f>
        <v>1166.9944751999999</v>
      </c>
      <c r="M7" s="442" t="s">
        <v>43</v>
      </c>
      <c r="N7" s="11"/>
      <c r="O7" s="3"/>
      <c r="P7" s="2"/>
      <c r="R7" s="443" t="s">
        <v>17</v>
      </c>
      <c r="S7" s="220" t="s">
        <v>24</v>
      </c>
      <c r="T7" s="263">
        <v>2.2349999999999999</v>
      </c>
      <c r="U7" s="440">
        <f>ROUNDUP((6/8*2.54*3.5),0)</f>
        <v>7</v>
      </c>
      <c r="V7" s="259">
        <f t="shared" si="0"/>
        <v>11</v>
      </c>
    </row>
    <row r="8" spans="1:22" ht="120" customHeight="1" thickBot="1" x14ac:dyDescent="0.3">
      <c r="A8" s="1168"/>
      <c r="B8" s="471" t="s">
        <v>14</v>
      </c>
      <c r="C8" s="146" t="s">
        <v>18</v>
      </c>
      <c r="D8" s="445">
        <f>D7</f>
        <v>261</v>
      </c>
      <c r="E8" s="113">
        <f>H8+I8+(5*J8)+(2*K8)+(2*10)+2</f>
        <v>249</v>
      </c>
      <c r="F8" s="1171"/>
      <c r="G8" s="1171"/>
      <c r="H8" s="471">
        <f>107-(2*2)-(2*VLOOKUP(C8,$R$4:$V$10,4,FALSE))</f>
        <v>93</v>
      </c>
      <c r="I8" s="445">
        <v>58</v>
      </c>
      <c r="J8" s="445">
        <f>VLOOKUP(C8,$R$4:$V$10,5,FALSE)</f>
        <v>8</v>
      </c>
      <c r="K8" s="446">
        <v>18</v>
      </c>
      <c r="L8" s="447">
        <f>(E8/100)*D8*VLOOKUP(C8,$R$4:$V$10,3,FALSE)</f>
        <v>647.2904400000001</v>
      </c>
      <c r="M8" s="442" t="s">
        <v>43</v>
      </c>
      <c r="N8" s="11"/>
      <c r="O8" s="3"/>
      <c r="P8" s="2"/>
      <c r="R8" s="444" t="s">
        <v>16</v>
      </c>
      <c r="S8" s="233">
        <v>1</v>
      </c>
      <c r="T8" s="262">
        <v>3.99</v>
      </c>
      <c r="U8" s="232">
        <f>ROUNDUP((8/8*2.54*3.5),0)</f>
        <v>9</v>
      </c>
      <c r="V8" s="260">
        <f t="shared" si="0"/>
        <v>14</v>
      </c>
    </row>
    <row r="9" spans="1:22" ht="120" customHeight="1" thickBot="1" x14ac:dyDescent="0.3">
      <c r="A9" s="1168"/>
      <c r="B9" s="471" t="s">
        <v>262</v>
      </c>
      <c r="C9" s="146" t="s">
        <v>18</v>
      </c>
      <c r="D9" s="445">
        <f>D8</f>
        <v>261</v>
      </c>
      <c r="E9" s="113">
        <f>H9+(2*I9)+(4*J9)+(2*K9)</f>
        <v>114</v>
      </c>
      <c r="F9" s="1171"/>
      <c r="G9" s="1172"/>
      <c r="H9" s="471">
        <v>32</v>
      </c>
      <c r="I9" s="445">
        <v>15</v>
      </c>
      <c r="J9" s="445">
        <f>VLOOKUP(C9,$R$4:$V$10,5,FALSE)</f>
        <v>8</v>
      </c>
      <c r="K9" s="446">
        <v>10</v>
      </c>
      <c r="L9" s="416">
        <f>(E9/100)*D9*VLOOKUP(C9,$R$4:$V$10,3,FALSE)</f>
        <v>296.34983999999997</v>
      </c>
      <c r="M9" s="442" t="s">
        <v>43</v>
      </c>
      <c r="N9" s="11"/>
      <c r="O9" s="3"/>
      <c r="P9" s="2"/>
      <c r="R9" s="443" t="s">
        <v>290</v>
      </c>
      <c r="S9" s="221">
        <v>1.25</v>
      </c>
      <c r="T9" s="263">
        <v>6.2249999999999996</v>
      </c>
      <c r="U9" s="440">
        <f>ROUNDUP((10/8*2.54*3.5),0)</f>
        <v>12</v>
      </c>
      <c r="V9" s="259">
        <f t="shared" si="0"/>
        <v>19</v>
      </c>
    </row>
    <row r="10" spans="1:22" ht="120" customHeight="1" thickBot="1" x14ac:dyDescent="0.3">
      <c r="A10" s="1169"/>
      <c r="B10" s="1173" t="s">
        <v>345</v>
      </c>
      <c r="C10" s="1174"/>
      <c r="D10" s="164">
        <v>6</v>
      </c>
      <c r="E10" s="472">
        <f>(H10*2)+(I10*2)+(J10*3)</f>
        <v>397</v>
      </c>
      <c r="F10" s="1175"/>
      <c r="G10" s="1175"/>
      <c r="H10" s="293">
        <v>98</v>
      </c>
      <c r="I10" s="159">
        <v>30</v>
      </c>
      <c r="J10" s="159">
        <f>ROUND(+PI()*15*2/(360/180),0)</f>
        <v>47</v>
      </c>
      <c r="K10" s="159"/>
      <c r="L10" s="108">
        <f>((E10/100)*D10)*G42</f>
        <v>50.260199999999998</v>
      </c>
      <c r="M10" s="442" t="s">
        <v>43</v>
      </c>
      <c r="N10" s="11"/>
      <c r="O10" s="3"/>
      <c r="P10" s="2"/>
      <c r="R10" s="444" t="s">
        <v>286</v>
      </c>
      <c r="S10" s="234">
        <v>1.5</v>
      </c>
      <c r="T10" s="262">
        <v>8.9380000000000006</v>
      </c>
      <c r="U10" s="232">
        <f>ROUNDUP((12/8*2.54*3.5),0)</f>
        <v>14</v>
      </c>
      <c r="V10" s="258">
        <f t="shared" si="0"/>
        <v>22</v>
      </c>
    </row>
    <row r="11" spans="1:22" ht="15.75" thickBot="1" x14ac:dyDescent="0.3">
      <c r="A11" s="54"/>
      <c r="B11" s="168"/>
      <c r="C11" s="169"/>
      <c r="D11" s="169"/>
      <c r="E11" s="169"/>
      <c r="F11" s="1142" t="s">
        <v>111</v>
      </c>
      <c r="G11" s="1143"/>
      <c r="H11" s="1144"/>
      <c r="I11" s="170" t="s">
        <v>51</v>
      </c>
      <c r="J11" s="171" t="s">
        <v>113</v>
      </c>
      <c r="K11" s="172">
        <v>10</v>
      </c>
      <c r="L11" s="173" t="s">
        <v>167</v>
      </c>
      <c r="M11" s="308"/>
    </row>
    <row r="12" spans="1:22" x14ac:dyDescent="0.25">
      <c r="B12" s="478"/>
      <c r="C12" s="479"/>
      <c r="D12" s="479"/>
      <c r="E12" s="479"/>
      <c r="F12" s="1145" t="s">
        <v>116</v>
      </c>
      <c r="G12" s="1146"/>
      <c r="H12" s="1147"/>
      <c r="I12" s="480" t="s">
        <v>30</v>
      </c>
      <c r="J12" s="481">
        <f>SUM(L4:L9)</f>
        <v>4529.5235423999993</v>
      </c>
      <c r="K12" s="1148">
        <f>J12*$K$11</f>
        <v>45295.235423999991</v>
      </c>
      <c r="L12" s="1149"/>
      <c r="M12" s="308" t="s">
        <v>43</v>
      </c>
    </row>
    <row r="13" spans="1:22" x14ac:dyDescent="0.25">
      <c r="B13" s="478"/>
      <c r="C13" s="479"/>
      <c r="D13" s="479"/>
      <c r="E13" s="479"/>
      <c r="F13" s="1145" t="s">
        <v>117</v>
      </c>
      <c r="G13" s="1146"/>
      <c r="H13" s="1147"/>
      <c r="I13" s="480" t="s">
        <v>30</v>
      </c>
      <c r="J13" s="482">
        <f>I27</f>
        <v>2095.7058216</v>
      </c>
      <c r="K13" s="1150">
        <f>J13*$K$11</f>
        <v>20957.058216000001</v>
      </c>
      <c r="L13" s="1151"/>
      <c r="M13" s="308" t="s">
        <v>43</v>
      </c>
    </row>
    <row r="14" spans="1:22" x14ac:dyDescent="0.25">
      <c r="B14" s="478"/>
      <c r="C14" s="479"/>
      <c r="D14" s="479"/>
      <c r="E14" s="479"/>
      <c r="F14" s="1145" t="s">
        <v>48</v>
      </c>
      <c r="G14" s="1146"/>
      <c r="H14" s="1147"/>
      <c r="I14" s="480" t="s">
        <v>29</v>
      </c>
      <c r="J14" s="483">
        <f>MAX(H32:H37)</f>
        <v>28.274362760000002</v>
      </c>
      <c r="K14" s="1150">
        <f>J14*$K$11</f>
        <v>282.74362760000002</v>
      </c>
      <c r="L14" s="1151"/>
      <c r="M14" s="308" t="s">
        <v>43</v>
      </c>
    </row>
    <row r="15" spans="1:22" ht="27.75" customHeight="1" thickBot="1" x14ac:dyDescent="0.3">
      <c r="B15" s="484"/>
      <c r="C15" s="485"/>
      <c r="D15" s="485"/>
      <c r="E15" s="485"/>
      <c r="F15" s="1152" t="s">
        <v>118</v>
      </c>
      <c r="G15" s="1153"/>
      <c r="H15" s="1154"/>
      <c r="I15" s="486" t="s">
        <v>30</v>
      </c>
      <c r="J15" s="487">
        <f>L10</f>
        <v>50.260199999999998</v>
      </c>
      <c r="K15" s="1155">
        <f>J15*$K$11</f>
        <v>502.60199999999998</v>
      </c>
      <c r="L15" s="1156"/>
      <c r="M15" s="308" t="s">
        <v>43</v>
      </c>
    </row>
    <row r="16" spans="1:22" ht="15.75" thickBot="1" x14ac:dyDescent="0.3">
      <c r="B16" s="70"/>
      <c r="C16" s="70"/>
      <c r="D16" s="70"/>
      <c r="E16" s="70"/>
      <c r="F16" s="142"/>
      <c r="M16" s="308"/>
    </row>
    <row r="17" spans="5:15" ht="15" customHeight="1" x14ac:dyDescent="0.25">
      <c r="G17" s="1159" t="s">
        <v>131</v>
      </c>
      <c r="H17" s="1160"/>
      <c r="I17" s="143" t="s">
        <v>29</v>
      </c>
      <c r="J17" s="475">
        <f>(J12+J13)/J18</f>
        <v>0.84397826292993616</v>
      </c>
      <c r="M17" s="308"/>
    </row>
    <row r="18" spans="5:15" ht="15" customHeight="1" x14ac:dyDescent="0.25">
      <c r="G18" s="1161" t="s">
        <v>127</v>
      </c>
      <c r="H18" s="1162"/>
      <c r="I18" s="61" t="s">
        <v>128</v>
      </c>
      <c r="J18" s="476">
        <v>7850</v>
      </c>
      <c r="M18" s="308"/>
      <c r="N18" s="71"/>
    </row>
    <row r="19" spans="5:15" ht="15.75" customHeight="1" thickBot="1" x14ac:dyDescent="0.3">
      <c r="G19" s="1135" t="s">
        <v>132</v>
      </c>
      <c r="H19" s="1136"/>
      <c r="I19" s="144" t="s">
        <v>29</v>
      </c>
      <c r="J19" s="145">
        <f>J14-J17</f>
        <v>27.430384497070065</v>
      </c>
      <c r="K19" s="92" t="s">
        <v>43</v>
      </c>
      <c r="M19" s="308"/>
    </row>
    <row r="20" spans="5:15" x14ac:dyDescent="0.25">
      <c r="M20" s="308"/>
    </row>
    <row r="21" spans="5:15" x14ac:dyDescent="0.25">
      <c r="M21" s="308"/>
    </row>
    <row r="22" spans="5:15" x14ac:dyDescent="0.25">
      <c r="M22" s="308"/>
    </row>
    <row r="23" spans="5:15" x14ac:dyDescent="0.25">
      <c r="M23" s="308"/>
    </row>
    <row r="24" spans="5:15" x14ac:dyDescent="0.25">
      <c r="M24" s="308"/>
    </row>
    <row r="25" spans="5:15" x14ac:dyDescent="0.25">
      <c r="M25" s="308"/>
    </row>
    <row r="26" spans="5:15" x14ac:dyDescent="0.25">
      <c r="E26" s="8" t="s">
        <v>151</v>
      </c>
      <c r="F26" s="8" t="s">
        <v>166</v>
      </c>
      <c r="G26" s="1157" t="s">
        <v>121</v>
      </c>
      <c r="H26" s="1158"/>
      <c r="I26" s="1157" t="s">
        <v>153</v>
      </c>
      <c r="J26" s="1158"/>
      <c r="M26" s="308"/>
      <c r="N26" s="1137"/>
      <c r="O26" s="1137"/>
    </row>
    <row r="27" spans="5:15" x14ac:dyDescent="0.25">
      <c r="E27" s="441" t="s">
        <v>22</v>
      </c>
      <c r="F27" s="488">
        <v>62</v>
      </c>
      <c r="G27" s="1138">
        <f>G37+2</f>
        <v>42.841200000000001</v>
      </c>
      <c r="H27" s="1139"/>
      <c r="I27" s="1140">
        <f>(F27*G27)*G41</f>
        <v>2095.7058216</v>
      </c>
      <c r="J27" s="1141"/>
      <c r="K27" s="92" t="s">
        <v>43</v>
      </c>
      <c r="M27" s="308"/>
    </row>
    <row r="28" spans="5:15" x14ac:dyDescent="0.25">
      <c r="M28" s="308"/>
    </row>
    <row r="29" spans="5:15" x14ac:dyDescent="0.25">
      <c r="M29" s="308"/>
    </row>
    <row r="30" spans="5:15" x14ac:dyDescent="0.25">
      <c r="M30" s="308"/>
    </row>
    <row r="31" spans="5:15" x14ac:dyDescent="0.25">
      <c r="E31" s="1"/>
      <c r="F31" s="1" t="s">
        <v>165</v>
      </c>
      <c r="G31" s="1" t="s">
        <v>157</v>
      </c>
      <c r="H31" s="1" t="s">
        <v>152</v>
      </c>
      <c r="M31" s="308"/>
    </row>
    <row r="32" spans="5:15" x14ac:dyDescent="0.25">
      <c r="E32" s="1" t="s">
        <v>158</v>
      </c>
      <c r="F32" s="1">
        <v>0.16969999999999999</v>
      </c>
      <c r="G32" s="1"/>
      <c r="H32" s="1">
        <f t="shared" ref="H32:H37" si="1">F32*G32</f>
        <v>0</v>
      </c>
      <c r="M32" s="308"/>
    </row>
    <row r="33" spans="5:13" x14ac:dyDescent="0.25">
      <c r="E33" s="1" t="s">
        <v>159</v>
      </c>
      <c r="F33" s="1">
        <v>0.23200000000000001</v>
      </c>
      <c r="G33" s="1"/>
      <c r="H33" s="1">
        <f t="shared" si="1"/>
        <v>0</v>
      </c>
      <c r="M33" s="308"/>
    </row>
    <row r="34" spans="5:13" x14ac:dyDescent="0.25">
      <c r="E34" s="1" t="s">
        <v>160</v>
      </c>
      <c r="F34" s="1">
        <v>0.36249999999999999</v>
      </c>
      <c r="G34" s="1"/>
      <c r="H34" s="1">
        <f t="shared" si="1"/>
        <v>0</v>
      </c>
      <c r="M34" s="308"/>
    </row>
    <row r="35" spans="5:13" x14ac:dyDescent="0.25">
      <c r="E35" s="1" t="s">
        <v>154</v>
      </c>
      <c r="F35" s="1">
        <v>0.49740000000000001</v>
      </c>
      <c r="G35" s="1"/>
      <c r="H35" s="1">
        <f t="shared" si="1"/>
        <v>0</v>
      </c>
      <c r="M35" s="308"/>
    </row>
    <row r="36" spans="5:13" x14ac:dyDescent="0.25">
      <c r="E36" s="1" t="s">
        <v>156</v>
      </c>
      <c r="F36" s="1">
        <v>0.64600000000000002</v>
      </c>
      <c r="G36" s="1"/>
      <c r="H36" s="1">
        <f t="shared" si="1"/>
        <v>0</v>
      </c>
      <c r="M36" s="308"/>
    </row>
    <row r="37" spans="5:13" x14ac:dyDescent="0.25">
      <c r="E37" s="72" t="s">
        <v>155</v>
      </c>
      <c r="F37" s="477">
        <v>0.69230000000000003</v>
      </c>
      <c r="G37" s="72">
        <v>40.841200000000001</v>
      </c>
      <c r="H37" s="83">
        <f t="shared" si="1"/>
        <v>28.274362760000002</v>
      </c>
      <c r="I37" t="s">
        <v>43</v>
      </c>
      <c r="M37" s="308"/>
    </row>
    <row r="38" spans="5:13" x14ac:dyDescent="0.25">
      <c r="M38" s="308"/>
    </row>
    <row r="39" spans="5:13" x14ac:dyDescent="0.25">
      <c r="M39" s="308"/>
    </row>
    <row r="40" spans="5:13" x14ac:dyDescent="0.25">
      <c r="F40" s="1" t="s">
        <v>164</v>
      </c>
      <c r="G40" s="1" t="s">
        <v>162</v>
      </c>
      <c r="M40" s="308"/>
    </row>
    <row r="41" spans="5:13" x14ac:dyDescent="0.25">
      <c r="F41" s="79" t="s">
        <v>161</v>
      </c>
      <c r="G41" s="1">
        <v>0.78900000000000003</v>
      </c>
      <c r="M41" s="308"/>
    </row>
    <row r="42" spans="5:13" x14ac:dyDescent="0.25">
      <c r="F42" s="1" t="s">
        <v>163</v>
      </c>
      <c r="G42" s="1">
        <v>2.11</v>
      </c>
      <c r="M42" s="308"/>
    </row>
  </sheetData>
  <mergeCells count="27">
    <mergeCell ref="N26:O26"/>
    <mergeCell ref="G27:H27"/>
    <mergeCell ref="I27:J27"/>
    <mergeCell ref="F11:H11"/>
    <mergeCell ref="F12:H12"/>
    <mergeCell ref="K12:L12"/>
    <mergeCell ref="F13:H13"/>
    <mergeCell ref="K13:L13"/>
    <mergeCell ref="F14:H14"/>
    <mergeCell ref="K14:L14"/>
    <mergeCell ref="F15:H15"/>
    <mergeCell ref="K15:L15"/>
    <mergeCell ref="G26:H26"/>
    <mergeCell ref="I26:J26"/>
    <mergeCell ref="G17:H17"/>
    <mergeCell ref="G18:H18"/>
    <mergeCell ref="G19:H19"/>
    <mergeCell ref="A1:L1"/>
    <mergeCell ref="A4:A10"/>
    <mergeCell ref="F4:G4"/>
    <mergeCell ref="F5:G5"/>
    <mergeCell ref="F6:G6"/>
    <mergeCell ref="F8:G8"/>
    <mergeCell ref="F9:G9"/>
    <mergeCell ref="B10:C10"/>
    <mergeCell ref="F10:G10"/>
    <mergeCell ref="F3:G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General PUENTE</vt:lpstr>
      <vt:lpstr>TERRAPLEN</vt:lpstr>
      <vt:lpstr>varillas eje 1-1</vt:lpstr>
      <vt:lpstr>varillas eje 2</vt:lpstr>
      <vt:lpstr>varillas eje 3</vt:lpstr>
      <vt:lpstr>varillas eje 4</vt:lpstr>
      <vt:lpstr>varillas eje 5</vt:lpstr>
      <vt:lpstr>AASHTO VI CLARO 1-2</vt:lpstr>
      <vt:lpstr>AASHTO VI CLARO 2-3</vt:lpstr>
      <vt:lpstr>AASHTO VI CLARO 3-4</vt:lpstr>
      <vt:lpstr>AASHTO VI CLARO 4-5</vt:lpstr>
      <vt:lpstr>LOSAS Y DIAFRAGMAS EJES 1-2 </vt:lpstr>
      <vt:lpstr>LOSAS Y DIAFRAGMAS EJES 2-3</vt:lpstr>
      <vt:lpstr>LOSAS Y DIAFRAGMAS EJE 3-4</vt:lpstr>
      <vt:lpstr>LOSAS Y DIAFRAGMAS IZQ 4-5</vt:lpstr>
      <vt:lpstr>LISTA DE TODOS LOS PARAPETOS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SERVICIOS4</dc:creator>
  <cp:lastModifiedBy>SERVICIOS4</cp:lastModifiedBy>
  <dcterms:created xsi:type="dcterms:W3CDTF">2014-04-12T15:56:20Z</dcterms:created>
  <dcterms:modified xsi:type="dcterms:W3CDTF">2018-08-23T16:31:31Z</dcterms:modified>
</cp:coreProperties>
</file>